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tsumiSuzuki\Desktop\HP 最新データ3004\"/>
    </mc:Choice>
  </mc:AlternateContent>
  <xr:revisionPtr revIDLastSave="0" documentId="13_ncr:1_{74B4CD01-0E9F-48F7-AB1F-E30F288CD6F8}" xr6:coauthVersionLast="31" xr6:coauthVersionMax="31" xr10:uidLastSave="{00000000-0000-0000-0000-000000000000}"/>
  <bookViews>
    <workbookView xWindow="0" yWindow="0" windowWidth="19200" windowHeight="9240" xr2:uid="{00000000-000D-0000-FFFF-FFFF00000000}"/>
  </bookViews>
  <sheets>
    <sheet name="Ｈ27.10" sheetId="1" r:id="rId1"/>
    <sheet name="Ｈ27.10 (山間部)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2" l="1"/>
  <c r="AN133" i="2" s="1"/>
  <c r="AR12" i="2" l="1"/>
  <c r="AR43" i="2"/>
  <c r="AP84" i="2"/>
  <c r="AR29" i="2"/>
  <c r="BA51" i="2"/>
  <c r="AS91" i="2"/>
  <c r="AR23" i="2"/>
  <c r="Q38" i="2"/>
  <c r="BA55" i="2"/>
  <c r="AP80" i="2"/>
  <c r="AS92" i="2"/>
  <c r="AR27" i="2"/>
  <c r="AP67" i="2"/>
  <c r="AR14" i="2"/>
  <c r="AP69" i="2"/>
  <c r="AR10" i="2"/>
  <c r="AR25" i="2"/>
  <c r="Q40" i="2"/>
  <c r="AP65" i="2"/>
  <c r="AP82" i="2"/>
  <c r="AK93" i="2"/>
  <c r="U95" i="2"/>
  <c r="AS96" i="2"/>
  <c r="AC98" i="2"/>
  <c r="BA104" i="2"/>
  <c r="AK106" i="2"/>
  <c r="U108" i="2"/>
  <c r="AS109" i="2"/>
  <c r="AC111" i="2"/>
  <c r="U117" i="2"/>
  <c r="AQ119" i="2"/>
  <c r="AF123" i="2"/>
  <c r="Q11" i="2"/>
  <c r="Q24" i="2"/>
  <c r="AR38" i="2"/>
  <c r="Z53" i="2"/>
  <c r="U64" i="2"/>
  <c r="U66" i="2"/>
  <c r="U68" i="2"/>
  <c r="U79" i="2"/>
  <c r="U81" i="2"/>
  <c r="U83" i="2"/>
  <c r="U91" i="2"/>
  <c r="U92" i="2"/>
  <c r="BA92" i="2"/>
  <c r="AS93" i="2"/>
  <c r="AK94" i="2"/>
  <c r="AC95" i="2"/>
  <c r="U96" i="2"/>
  <c r="BA96" i="2"/>
  <c r="AS97" i="2"/>
  <c r="AK98" i="2"/>
  <c r="AC104" i="2"/>
  <c r="U105" i="2"/>
  <c r="BA105" i="2"/>
  <c r="AS106" i="2"/>
  <c r="AK107" i="2"/>
  <c r="AC108" i="2"/>
  <c r="U109" i="2"/>
  <c r="BA109" i="2"/>
  <c r="AS110" i="2"/>
  <c r="AK111" i="2"/>
  <c r="U116" i="2"/>
  <c r="AF117" i="2"/>
  <c r="AQ118" i="2"/>
  <c r="U121" i="2"/>
  <c r="AF122" i="2"/>
  <c r="AQ123" i="2"/>
  <c r="AN132" i="2"/>
  <c r="Q15" i="2"/>
  <c r="Q28" i="2"/>
  <c r="AR40" i="2"/>
  <c r="AR13" i="2"/>
  <c r="AR26" i="2"/>
  <c r="AR30" i="2"/>
  <c r="AR41" i="2"/>
  <c r="AP64" i="2"/>
  <c r="AP79" i="2"/>
  <c r="AP83" i="2"/>
  <c r="AC92" i="2"/>
  <c r="AS94" i="2"/>
  <c r="U97" i="2"/>
  <c r="AS98" i="2"/>
  <c r="U106" i="2"/>
  <c r="AS107" i="2"/>
  <c r="AC109" i="2"/>
  <c r="AS111" i="2"/>
  <c r="AQ117" i="2"/>
  <c r="U119" i="2"/>
  <c r="AF121" i="2"/>
  <c r="AQ122" i="2"/>
  <c r="X130" i="2"/>
  <c r="X133" i="2"/>
  <c r="AC94" i="2"/>
  <c r="BA95" i="2"/>
  <c r="AK97" i="2"/>
  <c r="U104" i="2"/>
  <c r="AS105" i="2"/>
  <c r="AC107" i="2"/>
  <c r="BA108" i="2"/>
  <c r="AK110" i="2"/>
  <c r="U115" i="2"/>
  <c r="AF118" i="2"/>
  <c r="U122" i="2"/>
  <c r="X132" i="2"/>
  <c r="Q13" i="2"/>
  <c r="Q26" i="2"/>
  <c r="Q30" i="2"/>
  <c r="AR44" i="2"/>
  <c r="AR11" i="2"/>
  <c r="AR15" i="2"/>
  <c r="AR24" i="2"/>
  <c r="AR28" i="2"/>
  <c r="Q39" i="2"/>
  <c r="AR45" i="2"/>
  <c r="BA53" i="2"/>
  <c r="AP66" i="2"/>
  <c r="AP68" i="2"/>
  <c r="AP81" i="2"/>
  <c r="AC91" i="2"/>
  <c r="U93" i="2"/>
  <c r="BA93" i="2"/>
  <c r="AK95" i="2"/>
  <c r="AC96" i="2"/>
  <c r="BA97" i="2"/>
  <c r="AK104" i="2"/>
  <c r="AC105" i="2"/>
  <c r="BA106" i="2"/>
  <c r="AK108" i="2"/>
  <c r="U110" i="2"/>
  <c r="BA110" i="2"/>
  <c r="AF116" i="2"/>
  <c r="Q10" i="2"/>
  <c r="Q12" i="2"/>
  <c r="Q14" i="2"/>
  <c r="Q23" i="2"/>
  <c r="Q25" i="2"/>
  <c r="Q27" i="2"/>
  <c r="Q29" i="2"/>
  <c r="Q37" i="2"/>
  <c r="AR39" i="2"/>
  <c r="AR42" i="2"/>
  <c r="Z51" i="2"/>
  <c r="Z55" i="2"/>
  <c r="U65" i="2"/>
  <c r="U67" i="2"/>
  <c r="U69" i="2"/>
  <c r="U80" i="2"/>
  <c r="U82" i="2"/>
  <c r="U84" i="2"/>
  <c r="AK91" i="2"/>
  <c r="AK92" i="2"/>
  <c r="AC93" i="2"/>
  <c r="U94" i="2"/>
  <c r="BA94" i="2"/>
  <c r="AS95" i="2"/>
  <c r="AK96" i="2"/>
  <c r="AC97" i="2"/>
  <c r="U98" i="2"/>
  <c r="BA98" i="2"/>
  <c r="AS104" i="2"/>
  <c r="AK105" i="2"/>
  <c r="AC106" i="2"/>
  <c r="U107" i="2"/>
  <c r="BA107" i="2"/>
  <c r="AS108" i="2"/>
  <c r="AK109" i="2"/>
  <c r="AC110" i="2"/>
  <c r="U111" i="2"/>
  <c r="BA111" i="2"/>
  <c r="AQ116" i="2"/>
  <c r="U118" i="2"/>
  <c r="AF119" i="2"/>
  <c r="AQ121" i="2"/>
  <c r="U123" i="2"/>
  <c r="X131" i="2"/>
  <c r="AP45" i="1" l="1"/>
  <c r="AP44" i="1"/>
  <c r="AP43" i="1"/>
  <c r="AP42" i="1"/>
  <c r="AP41" i="1"/>
  <c r="AP40" i="1"/>
  <c r="AP39" i="1"/>
  <c r="AP38" i="1"/>
  <c r="O40" i="1"/>
  <c r="O39" i="1"/>
  <c r="O38" i="1"/>
  <c r="O37" i="1"/>
  <c r="AN84" i="1" l="1"/>
  <c r="AN83" i="1"/>
  <c r="AN82" i="1"/>
  <c r="AN81" i="1"/>
  <c r="AN80" i="1"/>
  <c r="AN79" i="1"/>
  <c r="S84" i="1"/>
  <c r="S83" i="1"/>
  <c r="S82" i="1"/>
  <c r="S81" i="1"/>
  <c r="S80" i="1"/>
  <c r="S79" i="1"/>
  <c r="AN69" i="1"/>
  <c r="AN68" i="1"/>
  <c r="AN67" i="1"/>
  <c r="AN66" i="1"/>
  <c r="AN65" i="1"/>
  <c r="AN64" i="1"/>
  <c r="S69" i="1"/>
  <c r="S68" i="1"/>
  <c r="S67" i="1"/>
  <c r="S66" i="1"/>
  <c r="S65" i="1"/>
  <c r="S64" i="1"/>
  <c r="O10" i="1" l="1"/>
  <c r="AP10" i="1"/>
  <c r="O11" i="1"/>
  <c r="AP11" i="1"/>
  <c r="O12" i="1"/>
  <c r="AP12" i="1"/>
  <c r="O13" i="1"/>
  <c r="AP13" i="1"/>
  <c r="O14" i="1"/>
  <c r="AP14" i="1"/>
  <c r="O15" i="1"/>
  <c r="AP15" i="1"/>
  <c r="O23" i="1"/>
  <c r="AP23" i="1"/>
  <c r="O24" i="1"/>
  <c r="AP24" i="1"/>
  <c r="O25" i="1"/>
  <c r="AP25" i="1"/>
  <c r="O26" i="1"/>
  <c r="AP26" i="1"/>
  <c r="O27" i="1"/>
  <c r="AP27" i="1"/>
  <c r="O28" i="1"/>
  <c r="AP28" i="1"/>
  <c r="O29" i="1"/>
  <c r="AP29" i="1"/>
  <c r="O30" i="1"/>
  <c r="AP30" i="1"/>
  <c r="X51" i="1"/>
  <c r="AY51" i="1"/>
  <c r="X53" i="1"/>
  <c r="AY53" i="1"/>
  <c r="X55" i="1"/>
  <c r="AY55" i="1"/>
  <c r="S91" i="1"/>
  <c r="AA91" i="1"/>
  <c r="AI91" i="1"/>
  <c r="AQ91" i="1"/>
  <c r="S92" i="1"/>
  <c r="AA92" i="1"/>
  <c r="AI92" i="1"/>
  <c r="AQ92" i="1"/>
  <c r="AY92" i="1"/>
  <c r="S93" i="1"/>
  <c r="AA93" i="1"/>
  <c r="AI93" i="1"/>
  <c r="AQ93" i="1"/>
  <c r="AY93" i="1"/>
  <c r="S94" i="1"/>
  <c r="AA94" i="1"/>
  <c r="AI94" i="1"/>
  <c r="AQ94" i="1"/>
  <c r="AY94" i="1"/>
  <c r="S95" i="1"/>
  <c r="AA95" i="1"/>
  <c r="AI95" i="1"/>
  <c r="AQ95" i="1"/>
  <c r="AY95" i="1"/>
  <c r="S96" i="1"/>
  <c r="AA96" i="1"/>
  <c r="AI96" i="1"/>
  <c r="AQ96" i="1"/>
  <c r="AY96" i="1"/>
  <c r="S97" i="1"/>
  <c r="AA97" i="1"/>
  <c r="AI97" i="1"/>
  <c r="AQ97" i="1"/>
  <c r="AY97" i="1"/>
  <c r="S98" i="1"/>
  <c r="AA98" i="1"/>
  <c r="AI98" i="1"/>
  <c r="AQ98" i="1"/>
  <c r="AY98" i="1"/>
  <c r="S104" i="1"/>
  <c r="AA104" i="1"/>
  <c r="AI104" i="1"/>
  <c r="AQ104" i="1"/>
  <c r="AY104" i="1"/>
  <c r="S105" i="1"/>
  <c r="AA105" i="1"/>
  <c r="AI105" i="1"/>
  <c r="AQ105" i="1"/>
  <c r="AY105" i="1"/>
  <c r="S106" i="1"/>
  <c r="AA106" i="1"/>
  <c r="AI106" i="1"/>
  <c r="AQ106" i="1"/>
  <c r="AY106" i="1"/>
  <c r="S107" i="1"/>
  <c r="AA107" i="1"/>
  <c r="AI107" i="1"/>
  <c r="AQ107" i="1"/>
  <c r="AY107" i="1"/>
  <c r="S108" i="1"/>
  <c r="AA108" i="1"/>
  <c r="AI108" i="1"/>
  <c r="AQ108" i="1"/>
  <c r="AY108" i="1"/>
  <c r="S109" i="1"/>
  <c r="AA109" i="1"/>
  <c r="AI109" i="1"/>
  <c r="AQ109" i="1"/>
  <c r="AY109" i="1"/>
  <c r="S110" i="1"/>
  <c r="AA110" i="1"/>
  <c r="AI110" i="1"/>
  <c r="AQ110" i="1"/>
  <c r="AY110" i="1"/>
  <c r="S111" i="1"/>
  <c r="AA111" i="1"/>
  <c r="AI111" i="1"/>
  <c r="AQ111" i="1"/>
  <c r="AY111" i="1"/>
  <c r="S115" i="1"/>
  <c r="S116" i="1"/>
  <c r="AD116" i="1"/>
  <c r="AO116" i="1"/>
  <c r="S117" i="1"/>
  <c r="AD117" i="1"/>
  <c r="AO117" i="1"/>
  <c r="S118" i="1"/>
  <c r="AD118" i="1"/>
  <c r="AO118" i="1"/>
  <c r="S119" i="1"/>
  <c r="AD119" i="1"/>
  <c r="AO119" i="1"/>
  <c r="S121" i="1"/>
  <c r="AD121" i="1"/>
  <c r="AO121" i="1"/>
  <c r="S122" i="1"/>
  <c r="AD122" i="1"/>
  <c r="AO122" i="1"/>
  <c r="S123" i="1"/>
  <c r="AD123" i="1"/>
  <c r="AO123" i="1"/>
  <c r="V130" i="1"/>
  <c r="V131" i="1"/>
  <c r="V132" i="1"/>
  <c r="AL132" i="1"/>
  <c r="V133" i="1"/>
  <c r="AL133" i="1"/>
</calcChain>
</file>

<file path=xl/sharedStrings.xml><?xml version="1.0" encoding="utf-8"?>
<sst xmlns="http://schemas.openxmlformats.org/spreadsheetml/2006/main" count="307" uniqueCount="95">
  <si>
    <t>1．　標準価格</t>
    <rPh sb="3" eb="5">
      <t>ヒョウジュン</t>
    </rPh>
    <rPh sb="5" eb="7">
      <t>カカク</t>
    </rPh>
    <phoneticPr fontId="4"/>
  </si>
  <si>
    <t>気乾単位容積質量（㎏/㎥）</t>
    <rPh sb="0" eb="1">
      <t>キ</t>
    </rPh>
    <rPh sb="2" eb="4">
      <t>タンイ</t>
    </rPh>
    <rPh sb="4" eb="6">
      <t>ヨウセキ</t>
    </rPh>
    <rPh sb="6" eb="8">
      <t>シツリョウ</t>
    </rPh>
    <phoneticPr fontId="4"/>
  </si>
  <si>
    <t>水セメント比の　　　上 限 値</t>
    <rPh sb="0" eb="1">
      <t>ミズ</t>
    </rPh>
    <rPh sb="5" eb="6">
      <t>ヒ</t>
    </rPh>
    <rPh sb="10" eb="11">
      <t>ウエ</t>
    </rPh>
    <rPh sb="12" eb="13">
      <t>キリ</t>
    </rPh>
    <rPh sb="14" eb="15">
      <t>アタイ</t>
    </rPh>
    <phoneticPr fontId="4"/>
  </si>
  <si>
    <t>普通セメント・高炉セメント</t>
    <rPh sb="0" eb="2">
      <t>フツウ</t>
    </rPh>
    <rPh sb="7" eb="9">
      <t>コウロ</t>
    </rPh>
    <phoneticPr fontId="4"/>
  </si>
  <si>
    <t>呼び強度</t>
    <rPh sb="0" eb="1">
      <t>ヨ</t>
    </rPh>
    <rPh sb="2" eb="4">
      <t>キョウド</t>
    </rPh>
    <phoneticPr fontId="4"/>
  </si>
  <si>
    <t>1．　標準価格</t>
    <phoneticPr fontId="2"/>
  </si>
  <si>
    <t>材齢２８日　　　粗骨材　　２０、２５、４０(mm)</t>
    <phoneticPr fontId="2"/>
  </si>
  <si>
    <t>スランプ</t>
  </si>
  <si>
    <t>呼び強度</t>
    <phoneticPr fontId="2"/>
  </si>
  <si>
    <t>普通セメント・高炉Ｂ種セメント</t>
    <phoneticPr fontId="2"/>
  </si>
  <si>
    <t>５ ～ ２１cm</t>
    <phoneticPr fontId="2"/>
  </si>
  <si>
    <t>18ベース＠</t>
    <phoneticPr fontId="2"/>
  </si>
  <si>
    <t>円</t>
    <rPh sb="0" eb="1">
      <t>エン</t>
    </rPh>
    <phoneticPr fontId="2"/>
  </si>
  <si>
    <t>早 強 セ メ ン ト</t>
    <phoneticPr fontId="2"/>
  </si>
  <si>
    <t>材齢 ７日　　　粗骨材　　２０、２５、４０(mm)</t>
    <phoneticPr fontId="2"/>
  </si>
  <si>
    <t>②普通コンクリート（スランプ8～21cm高性能ＡＥ減水剤）</t>
    <phoneticPr fontId="2"/>
  </si>
  <si>
    <t>AE減水剤</t>
    <phoneticPr fontId="2"/>
  </si>
  <si>
    <t>高性能AE減水剤</t>
    <phoneticPr fontId="2"/>
  </si>
  <si>
    <t>④舗装コンクリート（ＡＥ減水剤）</t>
    <phoneticPr fontId="2"/>
  </si>
  <si>
    <t>曲げ ４．５N/mm2</t>
    <phoneticPr fontId="2"/>
  </si>
  <si>
    <t>スランプ６．５cm</t>
    <phoneticPr fontId="2"/>
  </si>
  <si>
    <t>曲げ ５．０N/mm2</t>
    <phoneticPr fontId="2"/>
  </si>
  <si>
    <t>⑤軽量ｺﾝｸﾘｰﾄ(スランプ８～18cmAE減水剤）</t>
    <phoneticPr fontId="2"/>
  </si>
  <si>
    <t>普通セメント・高炉Ｂ種セメント</t>
    <phoneticPr fontId="2"/>
  </si>
  <si>
    <t>材齢２８日　　　１５　（mm)</t>
    <phoneticPr fontId="2"/>
  </si>
  <si>
    <t>８～１８ cm</t>
    <phoneticPr fontId="2"/>
  </si>
  <si>
    <t xml:space="preserve">呼び強度
</t>
    <phoneticPr fontId="2"/>
  </si>
  <si>
    <t>⑥軽量ｺﾝｸﾘｰﾄ(高性能AE減水剤）</t>
    <phoneticPr fontId="2"/>
  </si>
  <si>
    <t>※ スランプによる価格差はありません</t>
    <phoneticPr fontId="2"/>
  </si>
  <si>
    <t>普 通 セ メ ン ト  ・  高 炉 B種セ メ ン ト</t>
    <phoneticPr fontId="2"/>
  </si>
  <si>
    <t>材齢２８日　　　２０、２５　（mm)</t>
    <phoneticPr fontId="2"/>
  </si>
  <si>
    <t>スランプ</t>
    <phoneticPr fontId="2"/>
  </si>
  <si>
    <t>フロー</t>
    <phoneticPr fontId="2"/>
  </si>
  <si>
    <t>１５～２１ cm</t>
    <phoneticPr fontId="2"/>
  </si>
  <si>
    <t>５０ cm</t>
    <phoneticPr fontId="2"/>
  </si>
  <si>
    <t>５５ cm</t>
    <phoneticPr fontId="2"/>
  </si>
  <si>
    <t>６０ cm</t>
    <phoneticPr fontId="2"/>
  </si>
  <si>
    <t>６５ cm</t>
    <phoneticPr fontId="2"/>
  </si>
  <si>
    <t>スランプ・フロー</t>
    <phoneticPr fontId="4"/>
  </si>
  <si>
    <t>設計基準強度</t>
    <phoneticPr fontId="2"/>
  </si>
  <si>
    <t>中庸熱セ メ ン ト</t>
    <phoneticPr fontId="2"/>
  </si>
  <si>
    <t>１：２　　　（Ｃ=650）</t>
    <phoneticPr fontId="2"/>
  </si>
  <si>
    <t>1：２．５　 （Ｃ=550）</t>
    <phoneticPr fontId="2"/>
  </si>
  <si>
    <t>１：３　　　（Ｃ=450）</t>
    <phoneticPr fontId="2"/>
  </si>
  <si>
    <t>１：３．５　（Ｃ=400）</t>
    <phoneticPr fontId="2"/>
  </si>
  <si>
    <t>１：４　　　（Ｃ=350）</t>
    <phoneticPr fontId="2"/>
  </si>
  <si>
    <t>１：５　　　（Ｃ=300）</t>
    <phoneticPr fontId="2"/>
  </si>
  <si>
    <t>１：６　　　（Ｃ=250）</t>
    <phoneticPr fontId="2"/>
  </si>
  <si>
    <t>早強セメント</t>
    <phoneticPr fontId="2"/>
  </si>
  <si>
    <t>中庸熱セメント</t>
    <phoneticPr fontId="2"/>
  </si>
  <si>
    <t>※ 高炉B種セメント使用のコンクリート及びモルタルは普通セメントと同額です。</t>
    <phoneticPr fontId="2"/>
  </si>
  <si>
    <t>※ 特殊セメント使用のコンクリートはその都度積算させて頂きます。</t>
    <phoneticPr fontId="2"/>
  </si>
  <si>
    <t>⑬ 水セメント比指定の場合</t>
    <phoneticPr fontId="2"/>
  </si>
  <si>
    <t>-</t>
    <phoneticPr fontId="2"/>
  </si>
  <si>
    <t>-</t>
    <phoneticPr fontId="2"/>
  </si>
  <si>
    <t>※ スランプ２．５cm及び転圧コンクリートは工場渡しの価格です。</t>
    <phoneticPr fontId="2"/>
  </si>
  <si>
    <t>曲げ ４．５N/mm2</t>
    <phoneticPr fontId="2"/>
  </si>
  <si>
    <t>※スランプ２．５cm</t>
    <phoneticPr fontId="2"/>
  </si>
  <si>
    <t>※転圧ｺﾝｸﾘｰﾄ</t>
    <rPh sb="1" eb="3">
      <t>テンアツ</t>
    </rPh>
    <phoneticPr fontId="2"/>
  </si>
  <si>
    <t>曲げ ４．５N/mm2</t>
    <phoneticPr fontId="2"/>
  </si>
  <si>
    <t>８ ～ ２１cm</t>
    <phoneticPr fontId="2"/>
  </si>
  <si>
    <t>③普通コンクリート（スランプ5～21cm中庸熱セメント）</t>
    <phoneticPr fontId="2"/>
  </si>
  <si>
    <t>①普通コンクリート（スランプ5～21cmＡＥ減水剤）</t>
    <phoneticPr fontId="2"/>
  </si>
  <si>
    <t>１種</t>
  </si>
  <si>
    <t>-</t>
    <phoneticPr fontId="2"/>
  </si>
  <si>
    <t>-</t>
    <phoneticPr fontId="2"/>
  </si>
  <si>
    <t>種類</t>
    <phoneticPr fontId="2"/>
  </si>
  <si>
    <t>１種</t>
    <phoneticPr fontId="2"/>
  </si>
  <si>
    <t>普通セメント・高炉セメントＢ種</t>
    <rPh sb="7" eb="9">
      <t>コウロ</t>
    </rPh>
    <rPh sb="14" eb="15">
      <t>シュ</t>
    </rPh>
    <phoneticPr fontId="2"/>
  </si>
  <si>
    <t>普通セメント・高炉セメントＢ種</t>
    <phoneticPr fontId="2"/>
  </si>
  <si>
    <t>材齢２８日　　　１５　（mm)</t>
    <phoneticPr fontId="2"/>
  </si>
  <si>
    <t>８～２１cm</t>
    <phoneticPr fontId="2"/>
  </si>
  <si>
    <t>材齢２８日　　　２０、２５　（mm)</t>
    <phoneticPr fontId="2"/>
  </si>
  <si>
    <t>⑦大臣認定コンクリート(スランプ15～21cm及びフロー50～65cm高性能ＡＥ減水剤）　建築用</t>
    <phoneticPr fontId="2"/>
  </si>
  <si>
    <t>スランプ・フロー</t>
    <phoneticPr fontId="4"/>
  </si>
  <si>
    <t>設計基準強度</t>
    <phoneticPr fontId="2"/>
  </si>
  <si>
    <t>普通・高炉B種セメント</t>
    <phoneticPr fontId="2"/>
  </si>
  <si>
    <t>⑨ モルタル</t>
    <phoneticPr fontId="2"/>
  </si>
  <si>
    <t>スランプ　　　　　　5～21cm　　　　AE減水剤</t>
    <rPh sb="22" eb="24">
      <t>ゲンスイ</t>
    </rPh>
    <rPh sb="24" eb="25">
      <t>ザイ</t>
    </rPh>
    <phoneticPr fontId="4"/>
  </si>
  <si>
    <r>
      <t>スランプ　　　　　　8～21cm　　　　　</t>
    </r>
    <r>
      <rPr>
        <sz val="9"/>
        <rFont val="ＭＳ Ｐゴシック"/>
        <family val="3"/>
        <charset val="128"/>
      </rPr>
      <t>高性能AE減水剤</t>
    </r>
    <rPh sb="21" eb="24">
      <t>コウセイノウ</t>
    </rPh>
    <rPh sb="26" eb="28">
      <t>ゲンスイ</t>
    </rPh>
    <rPh sb="28" eb="29">
      <t>ザイ</t>
    </rPh>
    <phoneticPr fontId="4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</si>
  <si>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</si>
  <si>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</si>
  <si>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</si>
  <si>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</si>
  <si>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</si>
  <si>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</si>
  <si>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</si>
  <si>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</si>
  <si>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</si>
  <si>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１：４：８　　　（Ｃ=170）</t>
    <phoneticPr fontId="2"/>
  </si>
  <si>
    <t>１：１　　　（Ｃ=1000）</t>
    <phoneticPr fontId="2"/>
  </si>
  <si>
    <t>18ベース＠</t>
  </si>
  <si>
    <t>山間部（18ベース+4000円）</t>
    <rPh sb="0" eb="3">
      <t>サンカンブ</t>
    </rPh>
    <rPh sb="14" eb="15">
      <t>エン</t>
    </rPh>
    <phoneticPr fontId="2"/>
  </si>
  <si>
    <t>※表記なき事項については、西三河生コンクリート協同組合単価表による。</t>
    <rPh sb="1" eb="3">
      <t>ヒョウキ</t>
    </rPh>
    <rPh sb="5" eb="7">
      <t>ジコウ</t>
    </rPh>
    <rPh sb="13" eb="14">
      <t>ニシ</t>
    </rPh>
    <rPh sb="14" eb="16">
      <t>ミカワ</t>
    </rPh>
    <rPh sb="16" eb="17">
      <t>ナマ</t>
    </rPh>
    <rPh sb="23" eb="25">
      <t>キョウドウ</t>
    </rPh>
    <rPh sb="25" eb="27">
      <t>クミアイ</t>
    </rPh>
    <rPh sb="27" eb="29">
      <t>タンカ</t>
    </rPh>
    <rPh sb="29" eb="30">
      <t>ヒョウ</t>
    </rPh>
    <phoneticPr fontId="2"/>
  </si>
  <si>
    <t>平成30年4月版</t>
    <rPh sb="0" eb="2">
      <t>ヘイセイ</t>
    </rPh>
    <rPh sb="4" eb="5">
      <t>ネン</t>
    </rPh>
    <rPh sb="6" eb="7">
      <t>ガツ</t>
    </rPh>
    <rPh sb="7" eb="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</si>
</sst>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2" borderId="0" xfId="0" applyFill="1" applyAlignment="1"/>
    <xf numFmtId="0" fontId="3" fillId="2" borderId="0" xfId="0" applyFont="1" applyFill="1" applyAlignment="1"/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quotePrefix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40" xfId="0" applyNumberFormat="1" applyFill="1" applyBorder="1" applyAlignment="1">
      <alignment horizontal="center" vertical="center"/>
    </xf>
    <xf numFmtId="0" fontId="0" fillId="2" borderId="41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42" xfId="0" applyNumberFormat="1" applyFill="1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 shrinkToFit="1"/>
    </xf>
    <xf numFmtId="0" fontId="0" fillId="2" borderId="32" xfId="0" applyFill="1" applyBorder="1" applyAlignment="1">
      <alignment horizontal="left" vertical="center" wrapText="1" shrinkToFit="1"/>
    </xf>
    <xf numFmtId="0" fontId="0" fillId="2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right" vertical="center" wrapText="1" shrinkToFit="1"/>
    </xf>
    <xf numFmtId="0" fontId="0" fillId="2" borderId="31" xfId="0" applyFill="1" applyBorder="1" applyAlignment="1">
      <alignment horizontal="right" vertical="center" wrapText="1" shrinkToFit="1"/>
    </xf>
    <xf numFmtId="0" fontId="0" fillId="2" borderId="13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 shrinkToFit="1"/>
    </xf>
    <xf numFmtId="0" fontId="0" fillId="2" borderId="41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45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 shrinkToFit="1"/>
    </xf>
    <xf numFmtId="0" fontId="0" fillId="2" borderId="39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right" vertical="center" wrapText="1" shrinkToFit="1"/>
    </xf>
    <xf numFmtId="0" fontId="0" fillId="2" borderId="42" xfId="0" applyFill="1" applyBorder="1" applyAlignment="1">
      <alignment horizontal="center" vertical="center" wrapText="1" shrinkToFit="1"/>
    </xf>
    <xf numFmtId="0" fontId="0" fillId="2" borderId="43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46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10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 shrinkToFit="1"/>
    </xf>
    <xf numFmtId="0" fontId="0" fillId="2" borderId="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wrapText="1" shrinkToFit="1"/>
    </xf>
    <xf numFmtId="0" fontId="0" fillId="2" borderId="4" xfId="0" quotePrefix="1" applyFill="1" applyBorder="1" applyAlignment="1">
      <alignment horizontal="center" vertical="center" wrapText="1" shrinkToFit="1"/>
    </xf>
    <xf numFmtId="0" fontId="0" fillId="2" borderId="34" xfId="0" quotePrefix="1" applyFill="1" applyBorder="1" applyAlignment="1">
      <alignment horizontal="center" vertical="center" wrapText="1" shrinkToFit="1"/>
    </xf>
    <xf numFmtId="0" fontId="0" fillId="2" borderId="35" xfId="0" quotePrefix="1" applyFill="1" applyBorder="1" applyAlignment="1">
      <alignment horizontal="center" vertical="center" wrapText="1" shrinkToFit="1"/>
    </xf>
    <xf numFmtId="0" fontId="0" fillId="2" borderId="33" xfId="0" quotePrefix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8" fontId="8" fillId="2" borderId="9" xfId="1" applyFont="1" applyFill="1" applyBorder="1" applyAlignment="1">
      <alignment horizontal="center" vertical="center" wrapText="1"/>
    </xf>
    <xf numFmtId="38" fontId="8" fillId="2" borderId="37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8" fillId="2" borderId="39" xfId="1" applyFont="1" applyFill="1" applyBorder="1" applyAlignment="1">
      <alignment horizontal="center" vertical="center"/>
    </xf>
    <xf numFmtId="38" fontId="8" fillId="2" borderId="47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8" fillId="2" borderId="41" xfId="1" applyFont="1" applyFill="1" applyBorder="1" applyAlignment="1">
      <alignment horizontal="center" vertical="center"/>
    </xf>
    <xf numFmtId="38" fontId="8" fillId="2" borderId="48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38" fontId="8" fillId="2" borderId="43" xfId="1" applyFont="1" applyFill="1" applyBorder="1" applyAlignment="1">
      <alignment horizontal="center" vertical="center"/>
    </xf>
    <xf numFmtId="38" fontId="8" fillId="2" borderId="49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3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0</xdr:rowOff>
    </xdr:from>
    <xdr:to>
      <xdr:col>3</xdr:col>
      <xdr:colOff>47625</xdr:colOff>
      <xdr:row>98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8300" y="204597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76200</xdr:colOff>
      <xdr:row>97</xdr:row>
      <xdr:rowOff>133350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9125" y="204597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19" name="Text Box 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905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31" name="Text Box 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47625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0550" y="441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47625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057650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47625</xdr:colOff>
      <xdr:row>65</xdr:row>
      <xdr:rowOff>9525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38300" y="126873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133350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9125" y="12687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93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72250" y="19926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77</xdr:row>
      <xdr:rowOff>0</xdr:rowOff>
    </xdr:from>
    <xdr:to>
      <xdr:col>3</xdr:col>
      <xdr:colOff>47625</xdr:colOff>
      <xdr:row>78</xdr:row>
      <xdr:rowOff>95250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38300" y="16125825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3</xdr:col>
      <xdr:colOff>47625</xdr:colOff>
      <xdr:row>111</xdr:row>
      <xdr:rowOff>104775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38300" y="2396490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69</xdr:col>
      <xdr:colOff>47625</xdr:colOff>
      <xdr:row>98</xdr:row>
      <xdr:rowOff>9525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9550" y="2234565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96</xdr:row>
      <xdr:rowOff>0</xdr:rowOff>
    </xdr:from>
    <xdr:to>
      <xdr:col>66</xdr:col>
      <xdr:colOff>76200</xdr:colOff>
      <xdr:row>97</xdr:row>
      <xdr:rowOff>133350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9550" y="22345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124</xdr:row>
      <xdr:rowOff>0</xdr:rowOff>
    </xdr:from>
    <xdr:to>
      <xdr:col>70</xdr:col>
      <xdr:colOff>95250</xdr:colOff>
      <xdr:row>125</xdr:row>
      <xdr:rowOff>152400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9550" y="2906077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30" name="Text Box 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9550" y="525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24</xdr:row>
      <xdr:rowOff>0</xdr:rowOff>
    </xdr:from>
    <xdr:to>
      <xdr:col>66</xdr:col>
      <xdr:colOff>76200</xdr:colOff>
      <xdr:row>25</xdr:row>
      <xdr:rowOff>47625</xdr:rowOff>
    </xdr:to>
    <xdr:sp macro="" textlink="">
      <xdr:nvSpPr>
        <xdr:cNvPr id="35" name="Text Box 7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9550" y="525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36" name="Text Box 6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39</xdr:row>
      <xdr:rowOff>0</xdr:rowOff>
    </xdr:from>
    <xdr:to>
      <xdr:col>66</xdr:col>
      <xdr:colOff>76200</xdr:colOff>
      <xdr:row>40</xdr:row>
      <xdr:rowOff>47625</xdr:rowOff>
    </xdr:to>
    <xdr:sp macro="" textlink="">
      <xdr:nvSpPr>
        <xdr:cNvPr id="53" name="Text Box 7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9550" y="854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69</xdr:col>
      <xdr:colOff>47625</xdr:colOff>
      <xdr:row>65</xdr:row>
      <xdr:rowOff>9525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9550" y="138017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63</xdr:row>
      <xdr:rowOff>0</xdr:rowOff>
    </xdr:from>
    <xdr:to>
      <xdr:col>66</xdr:col>
      <xdr:colOff>76200</xdr:colOff>
      <xdr:row>64</xdr:row>
      <xdr:rowOff>133350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9550" y="138017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93</xdr:row>
      <xdr:rowOff>142875</xdr:rowOff>
    </xdr:from>
    <xdr:ext cx="514350" cy="3238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9550" y="2183130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66</xdr:col>
      <xdr:colOff>0</xdr:colOff>
      <xdr:row>110</xdr:row>
      <xdr:rowOff>0</xdr:rowOff>
    </xdr:from>
    <xdr:to>
      <xdr:col>69</xdr:col>
      <xdr:colOff>47625</xdr:colOff>
      <xdr:row>111</xdr:row>
      <xdr:rowOff>104775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9550" y="2541270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15</xdr:col>
      <xdr:colOff>0</xdr:colOff>
      <xdr:row>63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78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88</xdr:row>
      <xdr:rowOff>19050</xdr:rowOff>
    </xdr:from>
    <xdr:to>
      <xdr:col>18</xdr:col>
      <xdr:colOff>0</xdr:colOff>
      <xdr:row>90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96</xdr:row>
      <xdr:rowOff>0</xdr:rowOff>
    </xdr:from>
    <xdr:to>
      <xdr:col>5</xdr:col>
      <xdr:colOff>47625</xdr:colOff>
      <xdr:row>98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133350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6" name="Text Box 6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7" name="Text Box 7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9" name="Text Box 7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5</xdr:col>
      <xdr:colOff>47625</xdr:colOff>
      <xdr:row>65</xdr:row>
      <xdr:rowOff>9525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93</xdr:row>
      <xdr:rowOff>142875</xdr:rowOff>
    </xdr:from>
    <xdr:ext cx="514350" cy="32385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955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77</xdr:row>
      <xdr:rowOff>0</xdr:rowOff>
    </xdr:from>
    <xdr:to>
      <xdr:col>5</xdr:col>
      <xdr:colOff>47625</xdr:colOff>
      <xdr:row>78</xdr:row>
      <xdr:rowOff>95250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133445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5</xdr:col>
      <xdr:colOff>47625</xdr:colOff>
      <xdr:row>111</xdr:row>
      <xdr:rowOff>104775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955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71</xdr:col>
      <xdr:colOff>47625</xdr:colOff>
      <xdr:row>98</xdr:row>
      <xdr:rowOff>9525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68</xdr:col>
      <xdr:colOff>76200</xdr:colOff>
      <xdr:row>97</xdr:row>
      <xdr:rowOff>133350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124</xdr:row>
      <xdr:rowOff>0</xdr:rowOff>
    </xdr:from>
    <xdr:to>
      <xdr:col>72</xdr:col>
      <xdr:colOff>95250</xdr:colOff>
      <xdr:row>125</xdr:row>
      <xdr:rowOff>152400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124700" y="2143125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18" name="Text Box 6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19" name="Text Box 7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20" name="Text Box 6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21" name="Text Box 7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22" name="Text Box 6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23" name="Text Box 7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71</xdr:col>
      <xdr:colOff>47625</xdr:colOff>
      <xdr:row>65</xdr:row>
      <xdr:rowOff>9525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68</xdr:col>
      <xdr:colOff>76200</xdr:colOff>
      <xdr:row>64</xdr:row>
      <xdr:rowOff>133350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93</xdr:row>
      <xdr:rowOff>142875</xdr:rowOff>
    </xdr:from>
    <xdr:ext cx="514350" cy="32385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12470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110</xdr:row>
      <xdr:rowOff>0</xdr:rowOff>
    </xdr:from>
    <xdr:to>
      <xdr:col>71</xdr:col>
      <xdr:colOff>47625</xdr:colOff>
      <xdr:row>111</xdr:row>
      <xdr:rowOff>104775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12470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17</xdr:col>
      <xdr:colOff>0</xdr:colOff>
      <xdr:row>63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17</xdr:col>
      <xdr:colOff>0</xdr:colOff>
      <xdr:row>78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88</xdr:row>
      <xdr:rowOff>19050</xdr:rowOff>
    </xdr:from>
    <xdr:to>
      <xdr:col>20</xdr:col>
      <xdr:colOff>0</xdr:colOff>
      <xdr:row>90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96</xdr:row>
      <xdr:rowOff>0</xdr:rowOff>
    </xdr:from>
    <xdr:to>
      <xdr:col>5</xdr:col>
      <xdr:colOff>47625</xdr:colOff>
      <xdr:row>98</xdr:row>
      <xdr:rowOff>9525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133350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4" name="Text Box 7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35" name="Text Box 6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36" name="Text Box 7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8" name="Text Box 7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5</xdr:col>
      <xdr:colOff>47625</xdr:colOff>
      <xdr:row>65</xdr:row>
      <xdr:rowOff>9525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133350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93</xdr:row>
      <xdr:rowOff>142875</xdr:rowOff>
    </xdr:from>
    <xdr:ext cx="514350" cy="32385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0955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77</xdr:row>
      <xdr:rowOff>0</xdr:rowOff>
    </xdr:from>
    <xdr:to>
      <xdr:col>5</xdr:col>
      <xdr:colOff>47625</xdr:colOff>
      <xdr:row>78</xdr:row>
      <xdr:rowOff>95250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09550" y="133445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5</xdr:col>
      <xdr:colOff>47625</xdr:colOff>
      <xdr:row>111</xdr:row>
      <xdr:rowOff>104775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0955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71</xdr:col>
      <xdr:colOff>47625</xdr:colOff>
      <xdr:row>98</xdr:row>
      <xdr:rowOff>9525</xdr:rowOff>
    </xdr:to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68</xdr:col>
      <xdr:colOff>76200</xdr:colOff>
      <xdr:row>97</xdr:row>
      <xdr:rowOff>133350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124</xdr:row>
      <xdr:rowOff>0</xdr:rowOff>
    </xdr:from>
    <xdr:to>
      <xdr:col>72</xdr:col>
      <xdr:colOff>95250</xdr:colOff>
      <xdr:row>125</xdr:row>
      <xdr:rowOff>152400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124700" y="2143125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47" name="Text Box 6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48" name="Text Box 7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49" name="Text Box 6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50" name="Text Box 7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51" name="Text Box 6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71</xdr:col>
      <xdr:colOff>47625</xdr:colOff>
      <xdr:row>65</xdr:row>
      <xdr:rowOff>9525</xdr:rowOff>
    </xdr:to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68</xdr:col>
      <xdr:colOff>76200</xdr:colOff>
      <xdr:row>64</xdr:row>
      <xdr:rowOff>133350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93</xdr:row>
      <xdr:rowOff>142875</xdr:rowOff>
    </xdr:from>
    <xdr:ext cx="514350" cy="32385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12470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110</xdr:row>
      <xdr:rowOff>0</xdr:rowOff>
    </xdr:from>
    <xdr:to>
      <xdr:col>71</xdr:col>
      <xdr:colOff>47625</xdr:colOff>
      <xdr:row>111</xdr:row>
      <xdr:rowOff>104775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12470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17</xdr:col>
      <xdr:colOff>0</xdr:colOff>
      <xdr:row>63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17</xdr:col>
      <xdr:colOff>0</xdr:colOff>
      <xdr:row>78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88</xdr:row>
      <xdr:rowOff>19050</xdr:rowOff>
    </xdr:from>
    <xdr:to>
      <xdr:col>20</xdr:col>
      <xdr:colOff>0</xdr:colOff>
      <xdr:row>90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96</xdr:row>
      <xdr:rowOff>0</xdr:rowOff>
    </xdr:from>
    <xdr:to>
      <xdr:col>5</xdr:col>
      <xdr:colOff>47625</xdr:colOff>
      <xdr:row>98</xdr:row>
      <xdr:rowOff>9525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76200</xdr:colOff>
      <xdr:row>97</xdr:row>
      <xdr:rowOff>133350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0955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62" name="Text Box 6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64" name="Text Box 6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0955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67" name="Text Box 7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0955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5</xdr:col>
      <xdr:colOff>47625</xdr:colOff>
      <xdr:row>65</xdr:row>
      <xdr:rowOff>9525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133350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0955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93</xdr:row>
      <xdr:rowOff>142875</xdr:rowOff>
    </xdr:from>
    <xdr:ext cx="514350" cy="32385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0955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77</xdr:row>
      <xdr:rowOff>0</xdr:rowOff>
    </xdr:from>
    <xdr:to>
      <xdr:col>5</xdr:col>
      <xdr:colOff>47625</xdr:colOff>
      <xdr:row>78</xdr:row>
      <xdr:rowOff>95250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09550" y="133445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5</xdr:col>
      <xdr:colOff>47625</xdr:colOff>
      <xdr:row>111</xdr:row>
      <xdr:rowOff>104775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0955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71</xdr:col>
      <xdr:colOff>47625</xdr:colOff>
      <xdr:row>98</xdr:row>
      <xdr:rowOff>9525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96</xdr:row>
      <xdr:rowOff>0</xdr:rowOff>
    </xdr:from>
    <xdr:to>
      <xdr:col>68</xdr:col>
      <xdr:colOff>76200</xdr:colOff>
      <xdr:row>97</xdr:row>
      <xdr:rowOff>133350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124700" y="166116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124</xdr:row>
      <xdr:rowOff>0</xdr:rowOff>
    </xdr:from>
    <xdr:to>
      <xdr:col>72</xdr:col>
      <xdr:colOff>95250</xdr:colOff>
      <xdr:row>125</xdr:row>
      <xdr:rowOff>152400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124700" y="21431250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76" name="Text Box 6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77" name="Text Box 7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78" name="Text Box 6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24</xdr:row>
      <xdr:rowOff>0</xdr:rowOff>
    </xdr:from>
    <xdr:to>
      <xdr:col>68</xdr:col>
      <xdr:colOff>76200</xdr:colOff>
      <xdr:row>25</xdr:row>
      <xdr:rowOff>47625</xdr:rowOff>
    </xdr:to>
    <xdr:sp macro="" textlink="">
      <xdr:nvSpPr>
        <xdr:cNvPr id="79" name="Text Box 7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1247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80" name="Text Box 6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39</xdr:row>
      <xdr:rowOff>0</xdr:rowOff>
    </xdr:from>
    <xdr:to>
      <xdr:col>68</xdr:col>
      <xdr:colOff>76200</xdr:colOff>
      <xdr:row>40</xdr:row>
      <xdr:rowOff>47625</xdr:rowOff>
    </xdr:to>
    <xdr:sp macro="" textlink="">
      <xdr:nvSpPr>
        <xdr:cNvPr id="81" name="Text Box 7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124700" y="6819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71</xdr:col>
      <xdr:colOff>47625</xdr:colOff>
      <xdr:row>65</xdr:row>
      <xdr:rowOff>9525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68</xdr:col>
      <xdr:colOff>0</xdr:colOff>
      <xdr:row>63</xdr:row>
      <xdr:rowOff>0</xdr:rowOff>
    </xdr:from>
    <xdr:to>
      <xdr:col>68</xdr:col>
      <xdr:colOff>76200</xdr:colOff>
      <xdr:row>64</xdr:row>
      <xdr:rowOff>133350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124700" y="109442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68</xdr:col>
      <xdr:colOff>0</xdr:colOff>
      <xdr:row>93</xdr:row>
      <xdr:rowOff>142875</xdr:rowOff>
    </xdr:from>
    <xdr:ext cx="514350" cy="323850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124700" y="16240125"/>
          <a:ext cx="514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68</xdr:col>
      <xdr:colOff>0</xdr:colOff>
      <xdr:row>110</xdr:row>
      <xdr:rowOff>0</xdr:rowOff>
    </xdr:from>
    <xdr:to>
      <xdr:col>71</xdr:col>
      <xdr:colOff>47625</xdr:colOff>
      <xdr:row>111</xdr:row>
      <xdr:rowOff>104775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124700" y="19021425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17</xdr:col>
      <xdr:colOff>0</xdr:colOff>
      <xdr:row>63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>
          <a:off x="733425" y="10591800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17</xdr:col>
      <xdr:colOff>0</xdr:colOff>
      <xdr:row>78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733425" y="13173075"/>
          <a:ext cx="10477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88</xdr:row>
      <xdr:rowOff>19050</xdr:rowOff>
    </xdr:from>
    <xdr:to>
      <xdr:col>20</xdr:col>
      <xdr:colOff>0</xdr:colOff>
      <xdr:row>90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>
          <a:off x="752475" y="15259050"/>
          <a:ext cx="1343025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57"/>
  <sheetViews>
    <sheetView tabSelected="1" workbookViewId="0">
      <selection activeCell="G137" sqref="G137"/>
    </sheetView>
  </sheetViews>
  <sheetFormatPr defaultColWidth="1.375" defaultRowHeight="13.5" x14ac:dyDescent="0.15"/>
  <sheetData>
    <row r="1" spans="1:64" ht="14.25" thickBot="1" x14ac:dyDescent="0.2"/>
    <row r="2" spans="1:64" ht="15" thickTop="1" thickBot="1" x14ac:dyDescent="0.2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AI2" s="31" t="s">
        <v>11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2"/>
      <c r="AW2" s="28">
        <v>16500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0"/>
      <c r="BK2" s="33" t="s">
        <v>12</v>
      </c>
      <c r="BL2" s="11"/>
    </row>
    <row r="3" spans="1:64" ht="14.25" thickTop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4" x14ac:dyDescent="0.15">
      <c r="D4" s="11" t="s">
        <v>62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64" x14ac:dyDescent="0.1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64" x14ac:dyDescent="0.15">
      <c r="F6" s="14" t="s">
        <v>9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4" t="s">
        <v>13</v>
      </c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38"/>
    </row>
    <row r="7" spans="1:64" x14ac:dyDescent="0.15">
      <c r="F7" s="14" t="s">
        <v>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4" t="s">
        <v>14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38"/>
    </row>
    <row r="8" spans="1:64" x14ac:dyDescent="0.15">
      <c r="F8" s="19" t="s">
        <v>7</v>
      </c>
      <c r="G8" s="20"/>
      <c r="H8" s="20"/>
      <c r="I8" s="20"/>
      <c r="J8" s="20"/>
      <c r="K8" s="20"/>
      <c r="L8" s="20"/>
      <c r="M8" s="20"/>
      <c r="N8" s="21"/>
      <c r="O8" s="12" t="s">
        <v>10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9" t="s">
        <v>7</v>
      </c>
      <c r="AH8" s="20"/>
      <c r="AI8" s="20"/>
      <c r="AJ8" s="20"/>
      <c r="AK8" s="20"/>
      <c r="AL8" s="20"/>
      <c r="AM8" s="20"/>
      <c r="AN8" s="20"/>
      <c r="AO8" s="21"/>
      <c r="AP8" s="12" t="s">
        <v>10</v>
      </c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34"/>
    </row>
    <row r="9" spans="1:64" x14ac:dyDescent="0.15">
      <c r="F9" s="16" t="s">
        <v>8</v>
      </c>
      <c r="G9" s="17"/>
      <c r="H9" s="17"/>
      <c r="I9" s="17"/>
      <c r="J9" s="17"/>
      <c r="K9" s="17"/>
      <c r="L9" s="17"/>
      <c r="M9" s="17"/>
      <c r="N9" s="18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 t="s">
        <v>8</v>
      </c>
      <c r="AH9" s="17"/>
      <c r="AI9" s="17"/>
      <c r="AJ9" s="17"/>
      <c r="AK9" s="17"/>
      <c r="AL9" s="17"/>
      <c r="AM9" s="17"/>
      <c r="AN9" s="17"/>
      <c r="AO9" s="18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35"/>
    </row>
    <row r="10" spans="1:64" x14ac:dyDescent="0.15">
      <c r="F10" s="23">
        <v>18</v>
      </c>
      <c r="G10" s="24"/>
      <c r="H10" s="24"/>
      <c r="I10" s="24"/>
      <c r="J10" s="24"/>
      <c r="K10" s="24"/>
      <c r="L10" s="24"/>
      <c r="M10" s="24"/>
      <c r="N10" s="25"/>
      <c r="O10" s="24">
        <f>$AW$2</f>
        <v>16500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3">
        <v>18</v>
      </c>
      <c r="AH10" s="24"/>
      <c r="AI10" s="24"/>
      <c r="AJ10" s="24"/>
      <c r="AK10" s="24"/>
      <c r="AL10" s="24"/>
      <c r="AM10" s="24"/>
      <c r="AN10" s="24"/>
      <c r="AO10" s="25"/>
      <c r="AP10" s="24">
        <f>$AW$2+1000</f>
        <v>17500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5"/>
    </row>
    <row r="11" spans="1:64" x14ac:dyDescent="0.15">
      <c r="F11" s="26">
        <v>21</v>
      </c>
      <c r="G11" s="22"/>
      <c r="H11" s="22"/>
      <c r="I11" s="22"/>
      <c r="J11" s="22"/>
      <c r="K11" s="22"/>
      <c r="L11" s="22"/>
      <c r="M11" s="22"/>
      <c r="N11" s="27"/>
      <c r="O11" s="22">
        <f>$AW$2+300</f>
        <v>16800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6">
        <v>21</v>
      </c>
      <c r="AH11" s="22"/>
      <c r="AI11" s="22"/>
      <c r="AJ11" s="22"/>
      <c r="AK11" s="22"/>
      <c r="AL11" s="22"/>
      <c r="AM11" s="22"/>
      <c r="AN11" s="22"/>
      <c r="AO11" s="27"/>
      <c r="AP11" s="22">
        <f>$AW$2+1400</f>
        <v>17900</v>
      </c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7"/>
    </row>
    <row r="12" spans="1:64" x14ac:dyDescent="0.15">
      <c r="F12" s="26">
        <v>24</v>
      </c>
      <c r="G12" s="22"/>
      <c r="H12" s="22"/>
      <c r="I12" s="22"/>
      <c r="J12" s="22"/>
      <c r="K12" s="22"/>
      <c r="L12" s="22"/>
      <c r="M12" s="22"/>
      <c r="N12" s="27"/>
      <c r="O12" s="22">
        <f>$AW$2+600</f>
        <v>17100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6">
        <v>24</v>
      </c>
      <c r="AH12" s="22"/>
      <c r="AI12" s="22"/>
      <c r="AJ12" s="22"/>
      <c r="AK12" s="22"/>
      <c r="AL12" s="22"/>
      <c r="AM12" s="22"/>
      <c r="AN12" s="22"/>
      <c r="AO12" s="27"/>
      <c r="AP12" s="22">
        <f>$AW$2+1900</f>
        <v>18400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7"/>
    </row>
    <row r="13" spans="1:64" x14ac:dyDescent="0.15">
      <c r="F13" s="26">
        <v>27</v>
      </c>
      <c r="G13" s="22"/>
      <c r="H13" s="22"/>
      <c r="I13" s="22"/>
      <c r="J13" s="22"/>
      <c r="K13" s="22"/>
      <c r="L13" s="22"/>
      <c r="M13" s="22"/>
      <c r="N13" s="27"/>
      <c r="O13" s="22">
        <f>$AW$2+900</f>
        <v>17400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6">
        <v>27</v>
      </c>
      <c r="AH13" s="22"/>
      <c r="AI13" s="22"/>
      <c r="AJ13" s="22"/>
      <c r="AK13" s="22"/>
      <c r="AL13" s="22"/>
      <c r="AM13" s="22"/>
      <c r="AN13" s="22"/>
      <c r="AO13" s="27"/>
      <c r="AP13" s="22">
        <f>$AW$2+2250</f>
        <v>18750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7"/>
    </row>
    <row r="14" spans="1:64" x14ac:dyDescent="0.15">
      <c r="F14" s="26">
        <v>30</v>
      </c>
      <c r="G14" s="22"/>
      <c r="H14" s="22"/>
      <c r="I14" s="22"/>
      <c r="J14" s="22"/>
      <c r="K14" s="22"/>
      <c r="L14" s="22"/>
      <c r="M14" s="22"/>
      <c r="N14" s="27"/>
      <c r="O14" s="22">
        <f>$AW$2+1200</f>
        <v>17700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6">
        <v>30</v>
      </c>
      <c r="AH14" s="22"/>
      <c r="AI14" s="22"/>
      <c r="AJ14" s="22"/>
      <c r="AK14" s="22"/>
      <c r="AL14" s="22"/>
      <c r="AM14" s="22"/>
      <c r="AN14" s="22"/>
      <c r="AO14" s="27"/>
      <c r="AP14" s="22">
        <f>$AW$2+2700</f>
        <v>19200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7"/>
    </row>
    <row r="15" spans="1:64" x14ac:dyDescent="0.15">
      <c r="F15" s="41">
        <v>33</v>
      </c>
      <c r="G15" s="36"/>
      <c r="H15" s="36"/>
      <c r="I15" s="36"/>
      <c r="J15" s="36"/>
      <c r="K15" s="36"/>
      <c r="L15" s="36"/>
      <c r="M15" s="36"/>
      <c r="N15" s="37"/>
      <c r="O15" s="36">
        <f>$AW$2+1650</f>
        <v>18150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1">
        <v>33</v>
      </c>
      <c r="AH15" s="36"/>
      <c r="AI15" s="36"/>
      <c r="AJ15" s="36"/>
      <c r="AK15" s="36"/>
      <c r="AL15" s="36"/>
      <c r="AM15" s="36"/>
      <c r="AN15" s="36"/>
      <c r="AO15" s="37"/>
      <c r="AP15" s="36">
        <f>$AW$2+3150</f>
        <v>19650</v>
      </c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7"/>
    </row>
    <row r="16" spans="1:64" x14ac:dyDescent="0.15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5:59" x14ac:dyDescent="0.15">
      <c r="E17" s="11" t="s">
        <v>15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5:59" x14ac:dyDescent="0.15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5:59" x14ac:dyDescent="0.15">
      <c r="F19" s="39" t="s">
        <v>9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 t="s">
        <v>13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</row>
    <row r="20" spans="5:59" x14ac:dyDescent="0.15">
      <c r="F20" s="39" t="s">
        <v>6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 t="s">
        <v>14</v>
      </c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</row>
    <row r="21" spans="5:59" x14ac:dyDescent="0.15">
      <c r="F21" s="42" t="s">
        <v>7</v>
      </c>
      <c r="G21" s="43"/>
      <c r="H21" s="43"/>
      <c r="I21" s="43"/>
      <c r="J21" s="43"/>
      <c r="K21" s="43"/>
      <c r="L21" s="43"/>
      <c r="M21" s="43"/>
      <c r="N21" s="43"/>
      <c r="O21" s="39" t="s">
        <v>60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2" t="s">
        <v>7</v>
      </c>
      <c r="AH21" s="43"/>
      <c r="AI21" s="43"/>
      <c r="AJ21" s="43"/>
      <c r="AK21" s="43"/>
      <c r="AL21" s="43"/>
      <c r="AM21" s="43"/>
      <c r="AN21" s="43"/>
      <c r="AO21" s="43"/>
      <c r="AP21" s="39" t="s">
        <v>60</v>
      </c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</row>
    <row r="22" spans="5:59" x14ac:dyDescent="0.15">
      <c r="F22" s="44" t="s">
        <v>8</v>
      </c>
      <c r="G22" s="44"/>
      <c r="H22" s="44"/>
      <c r="I22" s="44"/>
      <c r="J22" s="44"/>
      <c r="K22" s="44"/>
      <c r="L22" s="44"/>
      <c r="M22" s="44"/>
      <c r="N22" s="44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4" t="s">
        <v>8</v>
      </c>
      <c r="AH22" s="44"/>
      <c r="AI22" s="44"/>
      <c r="AJ22" s="44"/>
      <c r="AK22" s="44"/>
      <c r="AL22" s="44"/>
      <c r="AM22" s="44"/>
      <c r="AN22" s="44"/>
      <c r="AO22" s="44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</row>
    <row r="23" spans="5:59" x14ac:dyDescent="0.15">
      <c r="F23" s="40">
        <v>27</v>
      </c>
      <c r="G23" s="40"/>
      <c r="H23" s="40"/>
      <c r="I23" s="40"/>
      <c r="J23" s="40"/>
      <c r="K23" s="40"/>
      <c r="L23" s="40"/>
      <c r="M23" s="40"/>
      <c r="N23" s="40"/>
      <c r="O23" s="40">
        <f>$AW$2+1700</f>
        <v>18200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27</v>
      </c>
      <c r="AH23" s="40"/>
      <c r="AI23" s="40"/>
      <c r="AJ23" s="40"/>
      <c r="AK23" s="40"/>
      <c r="AL23" s="40"/>
      <c r="AM23" s="40"/>
      <c r="AN23" s="40"/>
      <c r="AO23" s="40"/>
      <c r="AP23" s="40">
        <f>$AW$2+3200</f>
        <v>19700</v>
      </c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</row>
    <row r="24" spans="5:59" x14ac:dyDescent="0.15">
      <c r="F24" s="45">
        <v>30</v>
      </c>
      <c r="G24" s="45"/>
      <c r="H24" s="45"/>
      <c r="I24" s="45"/>
      <c r="J24" s="45"/>
      <c r="K24" s="45"/>
      <c r="L24" s="45"/>
      <c r="M24" s="45"/>
      <c r="N24" s="45"/>
      <c r="O24" s="45">
        <f>$AW$2+2000</f>
        <v>18500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>
        <v>30</v>
      </c>
      <c r="AH24" s="45"/>
      <c r="AI24" s="45"/>
      <c r="AJ24" s="45"/>
      <c r="AK24" s="45"/>
      <c r="AL24" s="45"/>
      <c r="AM24" s="45"/>
      <c r="AN24" s="45"/>
      <c r="AO24" s="45"/>
      <c r="AP24" s="45">
        <f>$AW$2+3500</f>
        <v>20000</v>
      </c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</row>
    <row r="25" spans="5:59" x14ac:dyDescent="0.15">
      <c r="F25" s="45">
        <v>33</v>
      </c>
      <c r="G25" s="45"/>
      <c r="H25" s="45"/>
      <c r="I25" s="45"/>
      <c r="J25" s="45"/>
      <c r="K25" s="45"/>
      <c r="L25" s="45"/>
      <c r="M25" s="45"/>
      <c r="N25" s="45"/>
      <c r="O25" s="45">
        <f>$AW$2+2650</f>
        <v>19150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>
        <v>33</v>
      </c>
      <c r="AH25" s="45"/>
      <c r="AI25" s="45"/>
      <c r="AJ25" s="45"/>
      <c r="AK25" s="45"/>
      <c r="AL25" s="45"/>
      <c r="AM25" s="45"/>
      <c r="AN25" s="45"/>
      <c r="AO25" s="45"/>
      <c r="AP25" s="45">
        <f>$AW$2+4150</f>
        <v>20650</v>
      </c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</row>
    <row r="26" spans="5:59" x14ac:dyDescent="0.15">
      <c r="F26" s="45">
        <v>36</v>
      </c>
      <c r="G26" s="45"/>
      <c r="H26" s="45"/>
      <c r="I26" s="45"/>
      <c r="J26" s="45"/>
      <c r="K26" s="45"/>
      <c r="L26" s="45"/>
      <c r="M26" s="45"/>
      <c r="N26" s="45"/>
      <c r="O26" s="45">
        <f>$AW$2+3300</f>
        <v>19800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>
        <v>36</v>
      </c>
      <c r="AH26" s="45"/>
      <c r="AI26" s="45"/>
      <c r="AJ26" s="45"/>
      <c r="AK26" s="45"/>
      <c r="AL26" s="45"/>
      <c r="AM26" s="45"/>
      <c r="AN26" s="45"/>
      <c r="AO26" s="45"/>
      <c r="AP26" s="45">
        <f>$AW$2+4800</f>
        <v>21300</v>
      </c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</row>
    <row r="27" spans="5:59" x14ac:dyDescent="0.15">
      <c r="F27" s="45">
        <v>39</v>
      </c>
      <c r="G27" s="45"/>
      <c r="H27" s="45"/>
      <c r="I27" s="45"/>
      <c r="J27" s="45"/>
      <c r="K27" s="45"/>
      <c r="L27" s="45"/>
      <c r="M27" s="45"/>
      <c r="N27" s="45"/>
      <c r="O27" s="45">
        <f>$AW$2+3800</f>
        <v>20300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39</v>
      </c>
      <c r="AH27" s="45"/>
      <c r="AI27" s="45"/>
      <c r="AJ27" s="45"/>
      <c r="AK27" s="45"/>
      <c r="AL27" s="45"/>
      <c r="AM27" s="45"/>
      <c r="AN27" s="45"/>
      <c r="AO27" s="45"/>
      <c r="AP27" s="45">
        <f>$AW$2+5300</f>
        <v>21800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</row>
    <row r="28" spans="5:59" x14ac:dyDescent="0.15">
      <c r="F28" s="45">
        <v>40</v>
      </c>
      <c r="G28" s="45"/>
      <c r="H28" s="45"/>
      <c r="I28" s="45"/>
      <c r="J28" s="45"/>
      <c r="K28" s="45"/>
      <c r="L28" s="45"/>
      <c r="M28" s="45"/>
      <c r="N28" s="45"/>
      <c r="O28" s="45">
        <f>$AW$2+4000</f>
        <v>20500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>
        <v>40</v>
      </c>
      <c r="AH28" s="45"/>
      <c r="AI28" s="45"/>
      <c r="AJ28" s="45"/>
      <c r="AK28" s="45"/>
      <c r="AL28" s="45"/>
      <c r="AM28" s="45"/>
      <c r="AN28" s="45"/>
      <c r="AO28" s="45"/>
      <c r="AP28" s="45">
        <f>$AW$2+5500</f>
        <v>22000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</row>
    <row r="29" spans="5:59" x14ac:dyDescent="0.15">
      <c r="F29" s="45">
        <v>42</v>
      </c>
      <c r="G29" s="45"/>
      <c r="H29" s="45"/>
      <c r="I29" s="45"/>
      <c r="J29" s="45"/>
      <c r="K29" s="45"/>
      <c r="L29" s="45"/>
      <c r="M29" s="45"/>
      <c r="N29" s="45"/>
      <c r="O29" s="45">
        <f>$AW$2+4600</f>
        <v>21100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>
        <v>42</v>
      </c>
      <c r="AH29" s="45"/>
      <c r="AI29" s="45"/>
      <c r="AJ29" s="45"/>
      <c r="AK29" s="45"/>
      <c r="AL29" s="45"/>
      <c r="AM29" s="45"/>
      <c r="AN29" s="45"/>
      <c r="AO29" s="45"/>
      <c r="AP29" s="45">
        <f>$AW$2+6100</f>
        <v>22600</v>
      </c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</row>
    <row r="30" spans="5:59" x14ac:dyDescent="0.15">
      <c r="F30" s="46">
        <v>45</v>
      </c>
      <c r="G30" s="46"/>
      <c r="H30" s="46"/>
      <c r="I30" s="46"/>
      <c r="J30" s="46"/>
      <c r="K30" s="46"/>
      <c r="L30" s="46"/>
      <c r="M30" s="46"/>
      <c r="N30" s="46"/>
      <c r="O30" s="46">
        <f>$AW$2+5200</f>
        <v>21700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>
        <v>45</v>
      </c>
      <c r="AH30" s="46"/>
      <c r="AI30" s="46"/>
      <c r="AJ30" s="46"/>
      <c r="AK30" s="46"/>
      <c r="AL30" s="46"/>
      <c r="AM30" s="46"/>
      <c r="AN30" s="46"/>
      <c r="AO30" s="46"/>
      <c r="AP30" s="46">
        <f>$AW$2+6700</f>
        <v>23200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</row>
    <row r="31" spans="5:59" x14ac:dyDescent="0.1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5:59" x14ac:dyDescent="0.15">
      <c r="E32" s="11" t="s">
        <v>61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5:59" x14ac:dyDescent="0.15">
      <c r="F33" s="39" t="s">
        <v>16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 t="s">
        <v>17</v>
      </c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</row>
    <row r="34" spans="5:59" x14ac:dyDescent="0.15">
      <c r="F34" s="39" t="s">
        <v>6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 t="s">
        <v>6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</row>
    <row r="35" spans="5:59" x14ac:dyDescent="0.15">
      <c r="F35" s="42" t="s">
        <v>7</v>
      </c>
      <c r="G35" s="43"/>
      <c r="H35" s="43"/>
      <c r="I35" s="43"/>
      <c r="J35" s="43"/>
      <c r="K35" s="43"/>
      <c r="L35" s="43"/>
      <c r="M35" s="43"/>
      <c r="N35" s="43"/>
      <c r="O35" s="39" t="s">
        <v>10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2" t="s">
        <v>7</v>
      </c>
      <c r="AH35" s="43"/>
      <c r="AI35" s="43"/>
      <c r="AJ35" s="43"/>
      <c r="AK35" s="43"/>
      <c r="AL35" s="43"/>
      <c r="AM35" s="43"/>
      <c r="AN35" s="43"/>
      <c r="AO35" s="43"/>
      <c r="AP35" s="39" t="s">
        <v>10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5:59" x14ac:dyDescent="0.15">
      <c r="F36" s="44" t="s">
        <v>8</v>
      </c>
      <c r="G36" s="44"/>
      <c r="H36" s="44"/>
      <c r="I36" s="44"/>
      <c r="J36" s="44"/>
      <c r="K36" s="44"/>
      <c r="L36" s="44"/>
      <c r="M36" s="44"/>
      <c r="N36" s="44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4" t="s">
        <v>8</v>
      </c>
      <c r="AH36" s="44"/>
      <c r="AI36" s="44"/>
      <c r="AJ36" s="44"/>
      <c r="AK36" s="44"/>
      <c r="AL36" s="44"/>
      <c r="AM36" s="44"/>
      <c r="AN36" s="44"/>
      <c r="AO36" s="44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</row>
    <row r="37" spans="5:59" x14ac:dyDescent="0.15">
      <c r="F37" s="40">
        <v>24</v>
      </c>
      <c r="G37" s="40"/>
      <c r="H37" s="40"/>
      <c r="I37" s="40"/>
      <c r="J37" s="40"/>
      <c r="K37" s="40"/>
      <c r="L37" s="40"/>
      <c r="M37" s="40"/>
      <c r="N37" s="40"/>
      <c r="O37" s="40">
        <f>$AW$2+3350</f>
        <v>19850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>
        <v>24</v>
      </c>
      <c r="AH37" s="40"/>
      <c r="AI37" s="40"/>
      <c r="AJ37" s="40"/>
      <c r="AK37" s="40"/>
      <c r="AL37" s="40"/>
      <c r="AM37" s="40"/>
      <c r="AN37" s="40"/>
      <c r="AO37" s="40"/>
      <c r="AP37" s="40" t="s">
        <v>88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</row>
    <row r="38" spans="5:59" x14ac:dyDescent="0.15">
      <c r="F38" s="45">
        <v>27</v>
      </c>
      <c r="G38" s="45"/>
      <c r="H38" s="45"/>
      <c r="I38" s="45"/>
      <c r="J38" s="45"/>
      <c r="K38" s="45"/>
      <c r="L38" s="45"/>
      <c r="M38" s="45"/>
      <c r="N38" s="45"/>
      <c r="O38" s="45">
        <f>$AW$2+3600</f>
        <v>20100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>
        <v>27</v>
      </c>
      <c r="AH38" s="45"/>
      <c r="AI38" s="45"/>
      <c r="AJ38" s="45"/>
      <c r="AK38" s="45"/>
      <c r="AL38" s="45"/>
      <c r="AM38" s="45"/>
      <c r="AN38" s="45"/>
      <c r="AO38" s="45"/>
      <c r="AP38" s="45">
        <f>$AW$2+4400</f>
        <v>20900</v>
      </c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</row>
    <row r="39" spans="5:59" x14ac:dyDescent="0.15">
      <c r="F39" s="45">
        <v>30</v>
      </c>
      <c r="G39" s="45"/>
      <c r="H39" s="45"/>
      <c r="I39" s="45"/>
      <c r="J39" s="45"/>
      <c r="K39" s="45"/>
      <c r="L39" s="45"/>
      <c r="M39" s="45"/>
      <c r="N39" s="45"/>
      <c r="O39" s="45">
        <f>$AW$2+4050</f>
        <v>20550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>
        <v>30</v>
      </c>
      <c r="AH39" s="45"/>
      <c r="AI39" s="45"/>
      <c r="AJ39" s="45"/>
      <c r="AK39" s="45"/>
      <c r="AL39" s="45"/>
      <c r="AM39" s="45"/>
      <c r="AN39" s="45"/>
      <c r="AO39" s="45"/>
      <c r="AP39" s="45">
        <f>$AW$2+4850</f>
        <v>21350</v>
      </c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</row>
    <row r="40" spans="5:59" x14ac:dyDescent="0.15">
      <c r="F40" s="45">
        <v>33</v>
      </c>
      <c r="G40" s="45"/>
      <c r="H40" s="45"/>
      <c r="I40" s="45"/>
      <c r="J40" s="45"/>
      <c r="K40" s="45"/>
      <c r="L40" s="45"/>
      <c r="M40" s="45"/>
      <c r="N40" s="45"/>
      <c r="O40" s="45">
        <f>$AW$2+4500</f>
        <v>21000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>
        <v>33</v>
      </c>
      <c r="AH40" s="45"/>
      <c r="AI40" s="45"/>
      <c r="AJ40" s="45"/>
      <c r="AK40" s="45"/>
      <c r="AL40" s="45"/>
      <c r="AM40" s="45"/>
      <c r="AN40" s="45"/>
      <c r="AO40" s="45"/>
      <c r="AP40" s="45">
        <f>$AW$2+5500</f>
        <v>22000</v>
      </c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</row>
    <row r="41" spans="5:59" x14ac:dyDescent="0.15">
      <c r="F41" s="45">
        <v>36</v>
      </c>
      <c r="G41" s="45"/>
      <c r="H41" s="45"/>
      <c r="I41" s="45"/>
      <c r="J41" s="45"/>
      <c r="K41" s="45"/>
      <c r="L41" s="45"/>
      <c r="M41" s="45"/>
      <c r="N41" s="45"/>
      <c r="O41" s="45" t="s">
        <v>84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>
        <v>36</v>
      </c>
      <c r="AH41" s="45"/>
      <c r="AI41" s="45"/>
      <c r="AJ41" s="45"/>
      <c r="AK41" s="45"/>
      <c r="AL41" s="45"/>
      <c r="AM41" s="45"/>
      <c r="AN41" s="45"/>
      <c r="AO41" s="45"/>
      <c r="AP41" s="45">
        <f>$AW$2+6250</f>
        <v>22750</v>
      </c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</row>
    <row r="42" spans="5:59" x14ac:dyDescent="0.15">
      <c r="F42" s="45">
        <v>39</v>
      </c>
      <c r="G42" s="45"/>
      <c r="H42" s="45"/>
      <c r="I42" s="45"/>
      <c r="J42" s="45"/>
      <c r="K42" s="45"/>
      <c r="L42" s="45"/>
      <c r="M42" s="45"/>
      <c r="N42" s="45"/>
      <c r="O42" s="45" t="s">
        <v>85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>
        <v>39</v>
      </c>
      <c r="AH42" s="45"/>
      <c r="AI42" s="45"/>
      <c r="AJ42" s="45"/>
      <c r="AK42" s="45"/>
      <c r="AL42" s="45"/>
      <c r="AM42" s="45"/>
      <c r="AN42" s="45"/>
      <c r="AO42" s="45"/>
      <c r="AP42" s="45">
        <f>$AW$2+7050</f>
        <v>23550</v>
      </c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</row>
    <row r="43" spans="5:59" x14ac:dyDescent="0.15">
      <c r="F43" s="45">
        <v>40</v>
      </c>
      <c r="G43" s="45"/>
      <c r="H43" s="45"/>
      <c r="I43" s="45"/>
      <c r="J43" s="45"/>
      <c r="K43" s="45"/>
      <c r="L43" s="45"/>
      <c r="M43" s="45"/>
      <c r="N43" s="45"/>
      <c r="O43" s="45" t="s">
        <v>86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40</v>
      </c>
      <c r="AH43" s="45"/>
      <c r="AI43" s="45"/>
      <c r="AJ43" s="45"/>
      <c r="AK43" s="45"/>
      <c r="AL43" s="45"/>
      <c r="AM43" s="45"/>
      <c r="AN43" s="45"/>
      <c r="AO43" s="45"/>
      <c r="AP43" s="45">
        <f>$AW$2+7350</f>
        <v>23850</v>
      </c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</row>
    <row r="44" spans="5:59" x14ac:dyDescent="0.15">
      <c r="F44" s="45">
        <v>42</v>
      </c>
      <c r="G44" s="45"/>
      <c r="H44" s="45"/>
      <c r="I44" s="45"/>
      <c r="J44" s="45"/>
      <c r="K44" s="45"/>
      <c r="L44" s="45"/>
      <c r="M44" s="45"/>
      <c r="N44" s="45"/>
      <c r="O44" s="45" t="s">
        <v>87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>
        <v>42</v>
      </c>
      <c r="AH44" s="45"/>
      <c r="AI44" s="45"/>
      <c r="AJ44" s="45"/>
      <c r="AK44" s="45"/>
      <c r="AL44" s="45"/>
      <c r="AM44" s="45"/>
      <c r="AN44" s="45"/>
      <c r="AO44" s="45"/>
      <c r="AP44" s="45">
        <f>$AW$2+7650</f>
        <v>24150</v>
      </c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</row>
    <row r="45" spans="5:59" x14ac:dyDescent="0.15">
      <c r="F45" s="46">
        <v>45</v>
      </c>
      <c r="G45" s="46"/>
      <c r="H45" s="46"/>
      <c r="I45" s="46"/>
      <c r="J45" s="46"/>
      <c r="K45" s="46"/>
      <c r="L45" s="46"/>
      <c r="M45" s="46"/>
      <c r="N45" s="46"/>
      <c r="O45" s="46" t="s">
        <v>54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>
        <v>45</v>
      </c>
      <c r="AH45" s="46"/>
      <c r="AI45" s="46"/>
      <c r="AJ45" s="46"/>
      <c r="AK45" s="46"/>
      <c r="AL45" s="46"/>
      <c r="AM45" s="46"/>
      <c r="AN45" s="46"/>
      <c r="AO45" s="46"/>
      <c r="AP45" s="46">
        <f>$AW$2+8750</f>
        <v>25250</v>
      </c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</row>
    <row r="46" spans="5:59" x14ac:dyDescent="0.15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5:59" x14ac:dyDescent="0.15">
      <c r="E47" s="11" t="s">
        <v>18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5:59" x14ac:dyDescent="0.15">
      <c r="E48" s="5"/>
      <c r="F48" s="5"/>
      <c r="G48" s="5" t="s">
        <v>55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5:60" x14ac:dyDescent="0.15">
      <c r="F49" s="39" t="s">
        <v>23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13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60" x14ac:dyDescent="0.15">
      <c r="F50" s="39" t="s">
        <v>6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 t="s">
        <v>14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</row>
    <row r="51" spans="5:60" x14ac:dyDescent="0.15">
      <c r="F51" s="47" t="s">
        <v>19</v>
      </c>
      <c r="G51" s="47"/>
      <c r="H51" s="47"/>
      <c r="I51" s="47"/>
      <c r="J51" s="47"/>
      <c r="K51" s="47"/>
      <c r="L51" s="47"/>
      <c r="M51" s="47"/>
      <c r="N51" s="48"/>
      <c r="O51" s="55" t="s">
        <v>20</v>
      </c>
      <c r="P51" s="47"/>
      <c r="Q51" s="47"/>
      <c r="R51" s="47"/>
      <c r="S51" s="47"/>
      <c r="T51" s="47"/>
      <c r="U51" s="47"/>
      <c r="V51" s="47"/>
      <c r="W51" s="47"/>
      <c r="X51" s="40">
        <f>$AW$2+1800</f>
        <v>18300</v>
      </c>
      <c r="Y51" s="40"/>
      <c r="Z51" s="40"/>
      <c r="AA51" s="40"/>
      <c r="AB51" s="40"/>
      <c r="AC51" s="40"/>
      <c r="AD51" s="40"/>
      <c r="AE51" s="40"/>
      <c r="AF51" s="40"/>
      <c r="AG51" s="47" t="s">
        <v>19</v>
      </c>
      <c r="AH51" s="47"/>
      <c r="AI51" s="47"/>
      <c r="AJ51" s="47"/>
      <c r="AK51" s="47"/>
      <c r="AL51" s="47"/>
      <c r="AM51" s="47"/>
      <c r="AN51" s="47"/>
      <c r="AO51" s="48"/>
      <c r="AP51" s="55" t="s">
        <v>20</v>
      </c>
      <c r="AQ51" s="47"/>
      <c r="AR51" s="47"/>
      <c r="AS51" s="47"/>
      <c r="AT51" s="47"/>
      <c r="AU51" s="47"/>
      <c r="AV51" s="47"/>
      <c r="AW51" s="47"/>
      <c r="AX51" s="47"/>
      <c r="AY51" s="40">
        <f>$AW$2+3300</f>
        <v>19800</v>
      </c>
      <c r="AZ51" s="40"/>
      <c r="BA51" s="40"/>
      <c r="BB51" s="40"/>
      <c r="BC51" s="40"/>
      <c r="BD51" s="40"/>
      <c r="BE51" s="40"/>
      <c r="BF51" s="40"/>
      <c r="BG51" s="40"/>
    </row>
    <row r="52" spans="5:60" x14ac:dyDescent="0.15">
      <c r="F52" s="51" t="s">
        <v>21</v>
      </c>
      <c r="G52" s="51"/>
      <c r="H52" s="51"/>
      <c r="I52" s="51"/>
      <c r="J52" s="51"/>
      <c r="K52" s="51"/>
      <c r="L52" s="51"/>
      <c r="M52" s="51"/>
      <c r="N52" s="52"/>
      <c r="O52" s="53" t="s">
        <v>20</v>
      </c>
      <c r="P52" s="51"/>
      <c r="Q52" s="51"/>
      <c r="R52" s="51"/>
      <c r="S52" s="51"/>
      <c r="T52" s="51"/>
      <c r="U52" s="51"/>
      <c r="V52" s="51"/>
      <c r="W52" s="51"/>
      <c r="X52" s="45"/>
      <c r="Y52" s="45"/>
      <c r="Z52" s="45"/>
      <c r="AA52" s="45"/>
      <c r="AB52" s="45"/>
      <c r="AC52" s="45"/>
      <c r="AD52" s="45"/>
      <c r="AE52" s="45"/>
      <c r="AF52" s="45"/>
      <c r="AG52" s="51" t="s">
        <v>21</v>
      </c>
      <c r="AH52" s="51"/>
      <c r="AI52" s="51"/>
      <c r="AJ52" s="51"/>
      <c r="AK52" s="51"/>
      <c r="AL52" s="51"/>
      <c r="AM52" s="51"/>
      <c r="AN52" s="51"/>
      <c r="AO52" s="52"/>
      <c r="AP52" s="53" t="s">
        <v>20</v>
      </c>
      <c r="AQ52" s="51"/>
      <c r="AR52" s="51"/>
      <c r="AS52" s="51"/>
      <c r="AT52" s="51"/>
      <c r="AU52" s="51"/>
      <c r="AV52" s="51"/>
      <c r="AW52" s="51"/>
      <c r="AX52" s="51"/>
      <c r="AY52" s="45"/>
      <c r="AZ52" s="45"/>
      <c r="BA52" s="45"/>
      <c r="BB52" s="45"/>
      <c r="BC52" s="45"/>
      <c r="BD52" s="45"/>
      <c r="BE52" s="45"/>
      <c r="BF52" s="45"/>
      <c r="BG52" s="45"/>
    </row>
    <row r="53" spans="5:60" x14ac:dyDescent="0.15">
      <c r="F53" s="51" t="s">
        <v>56</v>
      </c>
      <c r="G53" s="51"/>
      <c r="H53" s="51"/>
      <c r="I53" s="51"/>
      <c r="J53" s="51"/>
      <c r="K53" s="51"/>
      <c r="L53" s="51"/>
      <c r="M53" s="51"/>
      <c r="N53" s="52"/>
      <c r="O53" s="53" t="s">
        <v>57</v>
      </c>
      <c r="P53" s="51"/>
      <c r="Q53" s="51"/>
      <c r="R53" s="51"/>
      <c r="S53" s="51"/>
      <c r="T53" s="51"/>
      <c r="U53" s="51"/>
      <c r="V53" s="51"/>
      <c r="W53" s="51"/>
      <c r="X53" s="45">
        <f>$AW$2+800</f>
        <v>17300</v>
      </c>
      <c r="Y53" s="45"/>
      <c r="Z53" s="45"/>
      <c r="AA53" s="45"/>
      <c r="AB53" s="45"/>
      <c r="AC53" s="45"/>
      <c r="AD53" s="45"/>
      <c r="AE53" s="45"/>
      <c r="AF53" s="45"/>
      <c r="AG53" s="51" t="s">
        <v>59</v>
      </c>
      <c r="AH53" s="51"/>
      <c r="AI53" s="51"/>
      <c r="AJ53" s="51"/>
      <c r="AK53" s="51"/>
      <c r="AL53" s="51"/>
      <c r="AM53" s="51"/>
      <c r="AN53" s="51"/>
      <c r="AO53" s="52"/>
      <c r="AP53" s="53" t="s">
        <v>57</v>
      </c>
      <c r="AQ53" s="51"/>
      <c r="AR53" s="51"/>
      <c r="AS53" s="51"/>
      <c r="AT53" s="51"/>
      <c r="AU53" s="51"/>
      <c r="AV53" s="51"/>
      <c r="AW53" s="51"/>
      <c r="AX53" s="51"/>
      <c r="AY53" s="45">
        <f>$AW$2+2300</f>
        <v>18800</v>
      </c>
      <c r="AZ53" s="45"/>
      <c r="BA53" s="45"/>
      <c r="BB53" s="45"/>
      <c r="BC53" s="45"/>
      <c r="BD53" s="45"/>
      <c r="BE53" s="45"/>
      <c r="BF53" s="45"/>
      <c r="BG53" s="45"/>
    </row>
    <row r="54" spans="5:60" x14ac:dyDescent="0.15">
      <c r="F54" s="51" t="s">
        <v>21</v>
      </c>
      <c r="G54" s="51"/>
      <c r="H54" s="51"/>
      <c r="I54" s="51"/>
      <c r="J54" s="51"/>
      <c r="K54" s="51"/>
      <c r="L54" s="51"/>
      <c r="M54" s="51"/>
      <c r="N54" s="52"/>
      <c r="O54" s="53" t="s">
        <v>57</v>
      </c>
      <c r="P54" s="51"/>
      <c r="Q54" s="51"/>
      <c r="R54" s="51"/>
      <c r="S54" s="51"/>
      <c r="T54" s="51"/>
      <c r="U54" s="51"/>
      <c r="V54" s="51"/>
      <c r="W54" s="51"/>
      <c r="X54" s="45"/>
      <c r="Y54" s="45"/>
      <c r="Z54" s="45"/>
      <c r="AA54" s="45"/>
      <c r="AB54" s="45"/>
      <c r="AC54" s="45"/>
      <c r="AD54" s="45"/>
      <c r="AE54" s="45"/>
      <c r="AF54" s="45"/>
      <c r="AG54" s="51" t="s">
        <v>21</v>
      </c>
      <c r="AH54" s="51"/>
      <c r="AI54" s="51"/>
      <c r="AJ54" s="51"/>
      <c r="AK54" s="51"/>
      <c r="AL54" s="51"/>
      <c r="AM54" s="51"/>
      <c r="AN54" s="51"/>
      <c r="AO54" s="52"/>
      <c r="AP54" s="53" t="s">
        <v>57</v>
      </c>
      <c r="AQ54" s="51"/>
      <c r="AR54" s="51"/>
      <c r="AS54" s="51"/>
      <c r="AT54" s="51"/>
      <c r="AU54" s="51"/>
      <c r="AV54" s="51"/>
      <c r="AW54" s="51"/>
      <c r="AX54" s="51"/>
      <c r="AY54" s="45"/>
      <c r="AZ54" s="45"/>
      <c r="BA54" s="45"/>
      <c r="BB54" s="45"/>
      <c r="BC54" s="45"/>
      <c r="BD54" s="45"/>
      <c r="BE54" s="45"/>
      <c r="BF54" s="45"/>
      <c r="BG54" s="45"/>
    </row>
    <row r="55" spans="5:60" x14ac:dyDescent="0.15">
      <c r="F55" s="51" t="s">
        <v>19</v>
      </c>
      <c r="G55" s="51"/>
      <c r="H55" s="51"/>
      <c r="I55" s="51"/>
      <c r="J55" s="51"/>
      <c r="K55" s="51"/>
      <c r="L55" s="51"/>
      <c r="M55" s="51"/>
      <c r="N55" s="52"/>
      <c r="O55" s="53" t="s">
        <v>58</v>
      </c>
      <c r="P55" s="51"/>
      <c r="Q55" s="51"/>
      <c r="R55" s="51"/>
      <c r="S55" s="51"/>
      <c r="T55" s="51"/>
      <c r="U55" s="51"/>
      <c r="V55" s="51"/>
      <c r="W55" s="51"/>
      <c r="X55" s="45">
        <f>$AW$2+4300</f>
        <v>20800</v>
      </c>
      <c r="Y55" s="45"/>
      <c r="Z55" s="45"/>
      <c r="AA55" s="45"/>
      <c r="AB55" s="45"/>
      <c r="AC55" s="45"/>
      <c r="AD55" s="45"/>
      <c r="AE55" s="45"/>
      <c r="AF55" s="45"/>
      <c r="AG55" s="51" t="s">
        <v>19</v>
      </c>
      <c r="AH55" s="51"/>
      <c r="AI55" s="51"/>
      <c r="AJ55" s="51"/>
      <c r="AK55" s="51"/>
      <c r="AL55" s="51"/>
      <c r="AM55" s="51"/>
      <c r="AN55" s="51"/>
      <c r="AO55" s="52"/>
      <c r="AP55" s="53" t="s">
        <v>58</v>
      </c>
      <c r="AQ55" s="51"/>
      <c r="AR55" s="51"/>
      <c r="AS55" s="51"/>
      <c r="AT55" s="51"/>
      <c r="AU55" s="51"/>
      <c r="AV55" s="51"/>
      <c r="AW55" s="51"/>
      <c r="AX55" s="51"/>
      <c r="AY55" s="45">
        <f>$AW$2+5800</f>
        <v>22300</v>
      </c>
      <c r="AZ55" s="45"/>
      <c r="BA55" s="45"/>
      <c r="BB55" s="45"/>
      <c r="BC55" s="45"/>
      <c r="BD55" s="45"/>
      <c r="BE55" s="45"/>
      <c r="BF55" s="45"/>
      <c r="BG55" s="45"/>
    </row>
    <row r="56" spans="5:60" x14ac:dyDescent="0.15">
      <c r="F56" s="49" t="s">
        <v>21</v>
      </c>
      <c r="G56" s="49"/>
      <c r="H56" s="49"/>
      <c r="I56" s="49"/>
      <c r="J56" s="49"/>
      <c r="K56" s="49"/>
      <c r="L56" s="49"/>
      <c r="M56" s="49"/>
      <c r="N56" s="50"/>
      <c r="O56" s="54" t="s">
        <v>58</v>
      </c>
      <c r="P56" s="49"/>
      <c r="Q56" s="49"/>
      <c r="R56" s="49"/>
      <c r="S56" s="49"/>
      <c r="T56" s="49"/>
      <c r="U56" s="49"/>
      <c r="V56" s="49"/>
      <c r="W56" s="49"/>
      <c r="X56" s="46"/>
      <c r="Y56" s="46"/>
      <c r="Z56" s="46"/>
      <c r="AA56" s="46"/>
      <c r="AB56" s="46"/>
      <c r="AC56" s="46"/>
      <c r="AD56" s="46"/>
      <c r="AE56" s="46"/>
      <c r="AF56" s="46"/>
      <c r="AG56" s="49" t="s">
        <v>21</v>
      </c>
      <c r="AH56" s="49"/>
      <c r="AI56" s="49"/>
      <c r="AJ56" s="49"/>
      <c r="AK56" s="49"/>
      <c r="AL56" s="49"/>
      <c r="AM56" s="49"/>
      <c r="AN56" s="49"/>
      <c r="AO56" s="50"/>
      <c r="AP56" s="54" t="s">
        <v>58</v>
      </c>
      <c r="AQ56" s="49"/>
      <c r="AR56" s="49"/>
      <c r="AS56" s="49"/>
      <c r="AT56" s="49"/>
      <c r="AU56" s="49"/>
      <c r="AV56" s="49"/>
      <c r="AW56" s="49"/>
      <c r="AX56" s="49"/>
      <c r="AY56" s="46"/>
      <c r="AZ56" s="46"/>
      <c r="BA56" s="46"/>
      <c r="BB56" s="46"/>
      <c r="BC56" s="46"/>
      <c r="BD56" s="46"/>
      <c r="BE56" s="46"/>
      <c r="BF56" s="46"/>
      <c r="BG56" s="46"/>
    </row>
    <row r="58" spans="5:60" x14ac:dyDescent="0.15">
      <c r="E58" s="11" t="s">
        <v>22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5:60" x14ac:dyDescent="0.15">
      <c r="F59" s="67" t="s">
        <v>68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</row>
    <row r="60" spans="5:60" x14ac:dyDescent="0.15">
      <c r="F60" s="67" t="s">
        <v>70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</row>
    <row r="61" spans="5:60" x14ac:dyDescent="0.15">
      <c r="F61" s="66" t="s">
        <v>1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56">
        <v>1800</v>
      </c>
      <c r="T61" s="57"/>
      <c r="U61" s="57"/>
      <c r="V61" s="57"/>
      <c r="W61" s="57"/>
      <c r="X61" s="57"/>
      <c r="Y61" s="57"/>
      <c r="Z61" s="57"/>
      <c r="AA61" s="57"/>
      <c r="AB61" s="57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9"/>
      <c r="AN61" s="63">
        <v>1900</v>
      </c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8"/>
      <c r="AZ61" s="58"/>
      <c r="BA61" s="58"/>
      <c r="BB61" s="58"/>
      <c r="BC61" s="58"/>
      <c r="BD61" s="58"/>
      <c r="BE61" s="58"/>
      <c r="BF61" s="58"/>
      <c r="BG61" s="58"/>
      <c r="BH61" s="64"/>
    </row>
    <row r="62" spans="5:60" x14ac:dyDescent="0.15">
      <c r="F62" s="71"/>
      <c r="G62" s="72"/>
      <c r="H62" s="72"/>
      <c r="I62" s="72"/>
      <c r="J62" s="72"/>
      <c r="K62" s="68" t="s">
        <v>66</v>
      </c>
      <c r="L62" s="69"/>
      <c r="M62" s="69"/>
      <c r="N62" s="69"/>
      <c r="O62" s="69"/>
      <c r="P62" s="69"/>
      <c r="Q62" s="69"/>
      <c r="R62" s="70"/>
      <c r="S62" s="56" t="s">
        <v>67</v>
      </c>
      <c r="T62" s="57"/>
      <c r="U62" s="57"/>
      <c r="V62" s="57"/>
      <c r="W62" s="57"/>
      <c r="X62" s="57"/>
      <c r="Y62" s="57"/>
      <c r="Z62" s="57"/>
      <c r="AA62" s="57"/>
      <c r="AB62" s="57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9"/>
      <c r="AN62" s="63" t="s">
        <v>63</v>
      </c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8"/>
      <c r="AZ62" s="58"/>
      <c r="BA62" s="58"/>
      <c r="BB62" s="58"/>
      <c r="BC62" s="58"/>
      <c r="BD62" s="58"/>
      <c r="BE62" s="58"/>
      <c r="BF62" s="58"/>
      <c r="BG62" s="58"/>
      <c r="BH62" s="64"/>
    </row>
    <row r="63" spans="5:60" ht="14.25" customHeight="1" x14ac:dyDescent="0.15">
      <c r="F63" s="44" t="s">
        <v>26</v>
      </c>
      <c r="G63" s="44"/>
      <c r="H63" s="44"/>
      <c r="I63" s="44"/>
      <c r="J63" s="44"/>
      <c r="K63" s="44"/>
      <c r="L63" s="16"/>
      <c r="M63" s="82" t="s">
        <v>7</v>
      </c>
      <c r="N63" s="83"/>
      <c r="O63" s="83"/>
      <c r="P63" s="83"/>
      <c r="Q63" s="83"/>
      <c r="R63" s="84"/>
      <c r="S63" s="78" t="s">
        <v>25</v>
      </c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80"/>
    </row>
    <row r="64" spans="5:60" x14ac:dyDescent="0.15">
      <c r="F64" s="81">
        <v>18</v>
      </c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60">
        <f>$AW$2+12800</f>
        <v>29300</v>
      </c>
      <c r="T64" s="61"/>
      <c r="U64" s="61"/>
      <c r="V64" s="61"/>
      <c r="W64" s="61"/>
      <c r="X64" s="61"/>
      <c r="Y64" s="61"/>
      <c r="Z64" s="61"/>
      <c r="AA64" s="61"/>
      <c r="AB64" s="61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1">
        <f>$AW$2+10600</f>
        <v>27100</v>
      </c>
      <c r="AO64" s="61"/>
      <c r="AP64" s="61"/>
      <c r="AQ64" s="61"/>
      <c r="AR64" s="61"/>
      <c r="AS64" s="61"/>
      <c r="AT64" s="61"/>
      <c r="AU64" s="61"/>
      <c r="AV64" s="61"/>
      <c r="AW64" s="61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5"/>
    </row>
    <row r="65" spans="5:60" x14ac:dyDescent="0.15">
      <c r="F65" s="73">
        <v>21</v>
      </c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4">
        <f>$AW$2+13400</f>
        <v>29900</v>
      </c>
      <c r="T65" s="75"/>
      <c r="U65" s="75"/>
      <c r="V65" s="75"/>
      <c r="W65" s="75"/>
      <c r="X65" s="75"/>
      <c r="Y65" s="75"/>
      <c r="Z65" s="75"/>
      <c r="AA65" s="75"/>
      <c r="AB65" s="75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5">
        <f>$AW$2+11200</f>
        <v>27700</v>
      </c>
      <c r="AO65" s="75"/>
      <c r="AP65" s="75"/>
      <c r="AQ65" s="75"/>
      <c r="AR65" s="75"/>
      <c r="AS65" s="75"/>
      <c r="AT65" s="75"/>
      <c r="AU65" s="75"/>
      <c r="AV65" s="75"/>
      <c r="AW65" s="75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7"/>
    </row>
    <row r="66" spans="5:60" x14ac:dyDescent="0.15">
      <c r="F66" s="73">
        <v>24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4">
        <f>$AW$2+14000</f>
        <v>30500</v>
      </c>
      <c r="T66" s="75"/>
      <c r="U66" s="75"/>
      <c r="V66" s="75"/>
      <c r="W66" s="75"/>
      <c r="X66" s="75"/>
      <c r="Y66" s="75"/>
      <c r="Z66" s="75"/>
      <c r="AA66" s="75"/>
      <c r="AB66" s="75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5">
        <f>$AW$2+11800</f>
        <v>28300</v>
      </c>
      <c r="AO66" s="75"/>
      <c r="AP66" s="75"/>
      <c r="AQ66" s="75"/>
      <c r="AR66" s="75"/>
      <c r="AS66" s="75"/>
      <c r="AT66" s="75"/>
      <c r="AU66" s="75"/>
      <c r="AV66" s="75"/>
      <c r="AW66" s="75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7"/>
    </row>
    <row r="67" spans="5:60" x14ac:dyDescent="0.15">
      <c r="F67" s="73">
        <v>27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4">
        <f>$AW$2+14600</f>
        <v>31100</v>
      </c>
      <c r="T67" s="75"/>
      <c r="U67" s="75"/>
      <c r="V67" s="75"/>
      <c r="W67" s="75"/>
      <c r="X67" s="75"/>
      <c r="Y67" s="75"/>
      <c r="Z67" s="75"/>
      <c r="AA67" s="75"/>
      <c r="AB67" s="75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5">
        <f>$AW$2+12400</f>
        <v>28900</v>
      </c>
      <c r="AO67" s="75"/>
      <c r="AP67" s="75"/>
      <c r="AQ67" s="75"/>
      <c r="AR67" s="75"/>
      <c r="AS67" s="75"/>
      <c r="AT67" s="75"/>
      <c r="AU67" s="75"/>
      <c r="AV67" s="75"/>
      <c r="AW67" s="75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7"/>
    </row>
    <row r="68" spans="5:60" x14ac:dyDescent="0.15">
      <c r="F68" s="73">
        <v>30</v>
      </c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4">
        <f>$AW$2+15200</f>
        <v>31700</v>
      </c>
      <c r="T68" s="75"/>
      <c r="U68" s="75"/>
      <c r="V68" s="75"/>
      <c r="W68" s="75"/>
      <c r="X68" s="75"/>
      <c r="Y68" s="75"/>
      <c r="Z68" s="75"/>
      <c r="AA68" s="75"/>
      <c r="AB68" s="75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5">
        <f>$AW$2+13000</f>
        <v>29500</v>
      </c>
      <c r="AO68" s="75"/>
      <c r="AP68" s="75"/>
      <c r="AQ68" s="75"/>
      <c r="AR68" s="75"/>
      <c r="AS68" s="75"/>
      <c r="AT68" s="75"/>
      <c r="AU68" s="75"/>
      <c r="AV68" s="75"/>
      <c r="AW68" s="75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7"/>
    </row>
    <row r="69" spans="5:60" ht="13.5" customHeight="1" x14ac:dyDescent="0.15">
      <c r="F69" s="89">
        <v>33</v>
      </c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>
        <f>$AW$2+15800</f>
        <v>32300</v>
      </c>
      <c r="T69" s="91"/>
      <c r="U69" s="91"/>
      <c r="V69" s="91"/>
      <c r="W69" s="91"/>
      <c r="X69" s="91"/>
      <c r="Y69" s="91"/>
      <c r="Z69" s="91"/>
      <c r="AA69" s="91"/>
      <c r="AB69" s="91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1">
        <f>$AW$2+13600</f>
        <v>30100</v>
      </c>
      <c r="AO69" s="91"/>
      <c r="AP69" s="91"/>
      <c r="AQ69" s="91"/>
      <c r="AR69" s="91"/>
      <c r="AS69" s="91"/>
      <c r="AT69" s="91"/>
      <c r="AU69" s="91"/>
      <c r="AV69" s="91"/>
      <c r="AW69" s="91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164"/>
    </row>
    <row r="70" spans="5:60" ht="13.5" customHeight="1" x14ac:dyDescent="0.15"/>
    <row r="71" spans="5:60" x14ac:dyDescent="0.15">
      <c r="E71" s="5" t="s">
        <v>27</v>
      </c>
    </row>
    <row r="72" spans="5:60" x14ac:dyDescent="0.15">
      <c r="F72" s="5" t="s">
        <v>28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BH72" s="4"/>
    </row>
    <row r="73" spans="5:60" x14ac:dyDescent="0.15"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H73" s="4"/>
    </row>
    <row r="74" spans="5:60" x14ac:dyDescent="0.15">
      <c r="F74" s="165" t="s">
        <v>69</v>
      </c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2"/>
      <c r="BH74" s="34"/>
    </row>
    <row r="75" spans="5:60" x14ac:dyDescent="0.15">
      <c r="F75" s="167" t="s">
        <v>24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9"/>
    </row>
    <row r="76" spans="5:60" x14ac:dyDescent="0.15">
      <c r="F76" s="66" t="s">
        <v>1</v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56">
        <v>1800</v>
      </c>
      <c r="T76" s="57"/>
      <c r="U76" s="57"/>
      <c r="V76" s="57"/>
      <c r="W76" s="57"/>
      <c r="X76" s="57"/>
      <c r="Y76" s="57"/>
      <c r="Z76" s="57"/>
      <c r="AA76" s="57"/>
      <c r="AB76" s="57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  <c r="AN76" s="63">
        <v>1900</v>
      </c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8"/>
      <c r="AZ76" s="58"/>
      <c r="BA76" s="58"/>
      <c r="BB76" s="58"/>
      <c r="BC76" s="58"/>
      <c r="BD76" s="58"/>
      <c r="BE76" s="58"/>
      <c r="BF76" s="58"/>
      <c r="BG76" s="58"/>
      <c r="BH76" s="64"/>
    </row>
    <row r="77" spans="5:60" x14ac:dyDescent="0.15">
      <c r="F77" s="71"/>
      <c r="G77" s="72"/>
      <c r="H77" s="72"/>
      <c r="I77" s="72"/>
      <c r="J77" s="72"/>
      <c r="K77" s="68" t="s">
        <v>66</v>
      </c>
      <c r="L77" s="69"/>
      <c r="M77" s="69"/>
      <c r="N77" s="69"/>
      <c r="O77" s="69"/>
      <c r="P77" s="69"/>
      <c r="Q77" s="69"/>
      <c r="R77" s="70"/>
      <c r="S77" s="56" t="s">
        <v>67</v>
      </c>
      <c r="T77" s="57"/>
      <c r="U77" s="57"/>
      <c r="V77" s="57"/>
      <c r="W77" s="57"/>
      <c r="X77" s="57"/>
      <c r="Y77" s="57"/>
      <c r="Z77" s="57"/>
      <c r="AA77" s="57"/>
      <c r="AB77" s="57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9"/>
      <c r="AN77" s="63" t="s">
        <v>63</v>
      </c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8"/>
      <c r="AZ77" s="58"/>
      <c r="BA77" s="58"/>
      <c r="BB77" s="58"/>
      <c r="BC77" s="58"/>
      <c r="BD77" s="58"/>
      <c r="BE77" s="58"/>
      <c r="BF77" s="58"/>
      <c r="BG77" s="58"/>
      <c r="BH77" s="64"/>
    </row>
    <row r="78" spans="5:60" ht="14.25" customHeight="1" x14ac:dyDescent="0.15">
      <c r="F78" s="44" t="s">
        <v>26</v>
      </c>
      <c r="G78" s="44"/>
      <c r="H78" s="44"/>
      <c r="I78" s="44"/>
      <c r="J78" s="44"/>
      <c r="K78" s="44"/>
      <c r="L78" s="16"/>
      <c r="M78" s="82" t="s">
        <v>7</v>
      </c>
      <c r="N78" s="83"/>
      <c r="O78" s="83"/>
      <c r="P78" s="83"/>
      <c r="Q78" s="83"/>
      <c r="R78" s="84"/>
      <c r="S78" s="78" t="s">
        <v>71</v>
      </c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80"/>
    </row>
    <row r="79" spans="5:60" x14ac:dyDescent="0.15">
      <c r="F79" s="87">
        <v>27</v>
      </c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60">
        <f>$AW$2+15400</f>
        <v>31900</v>
      </c>
      <c r="T79" s="61"/>
      <c r="U79" s="61"/>
      <c r="V79" s="61"/>
      <c r="W79" s="61"/>
      <c r="X79" s="61"/>
      <c r="Y79" s="61"/>
      <c r="Z79" s="61"/>
      <c r="AA79" s="61"/>
      <c r="AB79" s="61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1">
        <f>$AW$2+13200</f>
        <v>29700</v>
      </c>
      <c r="AO79" s="61"/>
      <c r="AP79" s="61"/>
      <c r="AQ79" s="61"/>
      <c r="AR79" s="61"/>
      <c r="AS79" s="61"/>
      <c r="AT79" s="61"/>
      <c r="AU79" s="61"/>
      <c r="AV79" s="61"/>
      <c r="AW79" s="61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5"/>
    </row>
    <row r="80" spans="5:60" x14ac:dyDescent="0.15">
      <c r="F80" s="85">
        <v>30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74">
        <f>$AW$2+16000</f>
        <v>32500</v>
      </c>
      <c r="T80" s="75"/>
      <c r="U80" s="75"/>
      <c r="V80" s="75"/>
      <c r="W80" s="75"/>
      <c r="X80" s="75"/>
      <c r="Y80" s="75"/>
      <c r="Z80" s="75"/>
      <c r="AA80" s="75"/>
      <c r="AB80" s="75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5">
        <f>$AW$2+13800</f>
        <v>30300</v>
      </c>
      <c r="AO80" s="75"/>
      <c r="AP80" s="75"/>
      <c r="AQ80" s="75"/>
      <c r="AR80" s="75"/>
      <c r="AS80" s="75"/>
      <c r="AT80" s="75"/>
      <c r="AU80" s="75"/>
      <c r="AV80" s="75"/>
      <c r="AW80" s="75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7"/>
    </row>
    <row r="81" spans="5:60" x14ac:dyDescent="0.15">
      <c r="F81" s="85">
        <v>33</v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74">
        <f>$AW$2+16800</f>
        <v>33300</v>
      </c>
      <c r="T81" s="75"/>
      <c r="U81" s="75"/>
      <c r="V81" s="75"/>
      <c r="W81" s="75"/>
      <c r="X81" s="75"/>
      <c r="Y81" s="75"/>
      <c r="Z81" s="75"/>
      <c r="AA81" s="75"/>
      <c r="AB81" s="75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5">
        <f>$AW$2+14600</f>
        <v>31100</v>
      </c>
      <c r="AO81" s="75"/>
      <c r="AP81" s="75"/>
      <c r="AQ81" s="75"/>
      <c r="AR81" s="75"/>
      <c r="AS81" s="75"/>
      <c r="AT81" s="75"/>
      <c r="AU81" s="75"/>
      <c r="AV81" s="75"/>
      <c r="AW81" s="75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7"/>
    </row>
    <row r="82" spans="5:60" x14ac:dyDescent="0.15">
      <c r="F82" s="85">
        <v>36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74">
        <f>$AW$2+17400</f>
        <v>33900</v>
      </c>
      <c r="T82" s="75"/>
      <c r="U82" s="75"/>
      <c r="V82" s="75"/>
      <c r="W82" s="75"/>
      <c r="X82" s="75"/>
      <c r="Y82" s="75"/>
      <c r="Z82" s="75"/>
      <c r="AA82" s="75"/>
      <c r="AB82" s="75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5">
        <f>$AW$2+15200</f>
        <v>31700</v>
      </c>
      <c r="AO82" s="75"/>
      <c r="AP82" s="75"/>
      <c r="AQ82" s="75"/>
      <c r="AR82" s="75"/>
      <c r="AS82" s="75"/>
      <c r="AT82" s="75"/>
      <c r="AU82" s="75"/>
      <c r="AV82" s="75"/>
      <c r="AW82" s="75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7"/>
    </row>
    <row r="83" spans="5:60" ht="13.5" customHeight="1" x14ac:dyDescent="0.15">
      <c r="F83" s="85">
        <v>39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74">
        <f>$AW$2+18000</f>
        <v>34500</v>
      </c>
      <c r="T83" s="75"/>
      <c r="U83" s="75"/>
      <c r="V83" s="75"/>
      <c r="W83" s="75"/>
      <c r="X83" s="75"/>
      <c r="Y83" s="75"/>
      <c r="Z83" s="75"/>
      <c r="AA83" s="75"/>
      <c r="AB83" s="75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5">
        <f>$AW$2+15800</f>
        <v>32300</v>
      </c>
      <c r="AO83" s="75"/>
      <c r="AP83" s="75"/>
      <c r="AQ83" s="75"/>
      <c r="AR83" s="75"/>
      <c r="AS83" s="75"/>
      <c r="AT83" s="75"/>
      <c r="AU83" s="75"/>
      <c r="AV83" s="75"/>
      <c r="AW83" s="75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7"/>
    </row>
    <row r="84" spans="5:60" x14ac:dyDescent="0.15">
      <c r="F84" s="170">
        <v>40</v>
      </c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90">
        <f>$AW$2+18200</f>
        <v>34700</v>
      </c>
      <c r="T84" s="91"/>
      <c r="U84" s="91"/>
      <c r="V84" s="91"/>
      <c r="W84" s="91"/>
      <c r="X84" s="91"/>
      <c r="Y84" s="91"/>
      <c r="Z84" s="91"/>
      <c r="AA84" s="91"/>
      <c r="AB84" s="91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1">
        <f>$AW$2+15900</f>
        <v>32400</v>
      </c>
      <c r="AO84" s="91"/>
      <c r="AP84" s="91"/>
      <c r="AQ84" s="91"/>
      <c r="AR84" s="91"/>
      <c r="AS84" s="91"/>
      <c r="AT84" s="91"/>
      <c r="AU84" s="91"/>
      <c r="AV84" s="91"/>
      <c r="AW84" s="91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164"/>
    </row>
    <row r="86" spans="5:60" x14ac:dyDescent="0.15">
      <c r="E86" t="s">
        <v>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5:60" x14ac:dyDescent="0.15">
      <c r="E87" s="7"/>
      <c r="F87" s="67" t="s">
        <v>29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5:60" x14ac:dyDescent="0.15">
      <c r="F88" s="67" t="s">
        <v>72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5:60" x14ac:dyDescent="0.15">
      <c r="F89" s="97" t="s">
        <v>74</v>
      </c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5" t="s">
        <v>31</v>
      </c>
      <c r="T89" s="96"/>
      <c r="U89" s="96"/>
      <c r="V89" s="96"/>
      <c r="W89" s="96"/>
      <c r="X89" s="96"/>
      <c r="Y89" s="96"/>
      <c r="Z89" s="96"/>
      <c r="AA89" s="79" t="s">
        <v>32</v>
      </c>
      <c r="AB89" s="79"/>
      <c r="AC89" s="79"/>
      <c r="AD89" s="79"/>
      <c r="AE89" s="79"/>
      <c r="AF89" s="79"/>
      <c r="AG89" s="79"/>
      <c r="AH89" s="79"/>
      <c r="AI89" s="79" t="s">
        <v>32</v>
      </c>
      <c r="AJ89" s="79"/>
      <c r="AK89" s="79"/>
      <c r="AL89" s="79"/>
      <c r="AM89" s="79"/>
      <c r="AN89" s="79"/>
      <c r="AO89" s="79"/>
      <c r="AP89" s="79"/>
      <c r="AQ89" s="79" t="s">
        <v>32</v>
      </c>
      <c r="AR89" s="79"/>
      <c r="AS89" s="79"/>
      <c r="AT89" s="79"/>
      <c r="AU89" s="79"/>
      <c r="AV89" s="79"/>
      <c r="AW89" s="79"/>
      <c r="AX89" s="79"/>
      <c r="AY89" s="79" t="s">
        <v>32</v>
      </c>
      <c r="AZ89" s="79"/>
      <c r="BA89" s="79"/>
      <c r="BB89" s="79"/>
      <c r="BC89" s="79"/>
      <c r="BD89" s="79"/>
      <c r="BE89" s="79"/>
      <c r="BF89" s="80"/>
    </row>
    <row r="90" spans="5:60" ht="13.5" customHeight="1" x14ac:dyDescent="0.15">
      <c r="F90" s="93" t="s">
        <v>75</v>
      </c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5" t="s">
        <v>33</v>
      </c>
      <c r="T90" s="96"/>
      <c r="U90" s="96"/>
      <c r="V90" s="96"/>
      <c r="W90" s="96"/>
      <c r="X90" s="96"/>
      <c r="Y90" s="96"/>
      <c r="Z90" s="96"/>
      <c r="AA90" s="79" t="s">
        <v>34</v>
      </c>
      <c r="AB90" s="79"/>
      <c r="AC90" s="79"/>
      <c r="AD90" s="79"/>
      <c r="AE90" s="79"/>
      <c r="AF90" s="79"/>
      <c r="AG90" s="79"/>
      <c r="AH90" s="79"/>
      <c r="AI90" s="79" t="s">
        <v>35</v>
      </c>
      <c r="AJ90" s="79"/>
      <c r="AK90" s="79"/>
      <c r="AL90" s="79"/>
      <c r="AM90" s="79"/>
      <c r="AN90" s="79"/>
      <c r="AO90" s="79"/>
      <c r="AP90" s="79"/>
      <c r="AQ90" s="79" t="s">
        <v>36</v>
      </c>
      <c r="AR90" s="79"/>
      <c r="AS90" s="79"/>
      <c r="AT90" s="79"/>
      <c r="AU90" s="79"/>
      <c r="AV90" s="79"/>
      <c r="AW90" s="79"/>
      <c r="AX90" s="79"/>
      <c r="AY90" s="79" t="s">
        <v>37</v>
      </c>
      <c r="AZ90" s="79"/>
      <c r="BA90" s="79"/>
      <c r="BB90" s="79"/>
      <c r="BC90" s="79"/>
      <c r="BD90" s="79"/>
      <c r="BE90" s="79"/>
      <c r="BF90" s="80"/>
    </row>
    <row r="91" spans="5:60" ht="13.5" customHeight="1" x14ac:dyDescent="0.15">
      <c r="F91" s="106">
        <v>39</v>
      </c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8"/>
      <c r="S91" s="104">
        <f>$AW$2+5900</f>
        <v>22400</v>
      </c>
      <c r="T91" s="61"/>
      <c r="U91" s="61"/>
      <c r="V91" s="61"/>
      <c r="W91" s="61"/>
      <c r="X91" s="61"/>
      <c r="Y91" s="61"/>
      <c r="Z91" s="61"/>
      <c r="AA91" s="61">
        <f>$AW$2+5900+300</f>
        <v>22700</v>
      </c>
      <c r="AB91" s="61"/>
      <c r="AC91" s="61"/>
      <c r="AD91" s="61"/>
      <c r="AE91" s="61"/>
      <c r="AF91" s="61"/>
      <c r="AG91" s="61"/>
      <c r="AH91" s="61"/>
      <c r="AI91" s="61">
        <f>$AW$2+5900+600</f>
        <v>23000</v>
      </c>
      <c r="AJ91" s="61"/>
      <c r="AK91" s="61"/>
      <c r="AL91" s="61"/>
      <c r="AM91" s="61"/>
      <c r="AN91" s="61"/>
      <c r="AO91" s="61"/>
      <c r="AP91" s="61"/>
      <c r="AQ91" s="61">
        <f>$AW$2+5900+900</f>
        <v>23300</v>
      </c>
      <c r="AR91" s="61"/>
      <c r="AS91" s="61"/>
      <c r="AT91" s="61"/>
      <c r="AU91" s="61"/>
      <c r="AV91" s="61"/>
      <c r="AW91" s="61"/>
      <c r="AX91" s="61"/>
      <c r="AY91" s="61" t="s">
        <v>64</v>
      </c>
      <c r="AZ91" s="61"/>
      <c r="BA91" s="61"/>
      <c r="BB91" s="61"/>
      <c r="BC91" s="61"/>
      <c r="BD91" s="61"/>
      <c r="BE91" s="61"/>
      <c r="BF91" s="105"/>
    </row>
    <row r="92" spans="5:60" x14ac:dyDescent="0.15">
      <c r="F92" s="100">
        <v>42</v>
      </c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2"/>
      <c r="S92" s="103">
        <f>$AW$2+6500</f>
        <v>23000</v>
      </c>
      <c r="T92" s="75"/>
      <c r="U92" s="75"/>
      <c r="V92" s="75"/>
      <c r="W92" s="75"/>
      <c r="X92" s="75"/>
      <c r="Y92" s="75"/>
      <c r="Z92" s="75"/>
      <c r="AA92" s="75">
        <f>$AW$2+6500+300</f>
        <v>23300</v>
      </c>
      <c r="AB92" s="75"/>
      <c r="AC92" s="75"/>
      <c r="AD92" s="75"/>
      <c r="AE92" s="75"/>
      <c r="AF92" s="75"/>
      <c r="AG92" s="75"/>
      <c r="AH92" s="75"/>
      <c r="AI92" s="75">
        <f>$AW$2+6500+600</f>
        <v>23600</v>
      </c>
      <c r="AJ92" s="75"/>
      <c r="AK92" s="75"/>
      <c r="AL92" s="75"/>
      <c r="AM92" s="75"/>
      <c r="AN92" s="75"/>
      <c r="AO92" s="75"/>
      <c r="AP92" s="75"/>
      <c r="AQ92" s="75">
        <f>$AW$2+6500+900</f>
        <v>23900</v>
      </c>
      <c r="AR92" s="75"/>
      <c r="AS92" s="75"/>
      <c r="AT92" s="75"/>
      <c r="AU92" s="75"/>
      <c r="AV92" s="75"/>
      <c r="AW92" s="75"/>
      <c r="AX92" s="75"/>
      <c r="AY92" s="75">
        <f>$AW$2+6500+1200</f>
        <v>24200</v>
      </c>
      <c r="AZ92" s="75"/>
      <c r="BA92" s="75"/>
      <c r="BB92" s="75"/>
      <c r="BC92" s="75"/>
      <c r="BD92" s="75"/>
      <c r="BE92" s="75"/>
      <c r="BF92" s="99"/>
    </row>
    <row r="93" spans="5:60" x14ac:dyDescent="0.15">
      <c r="F93" s="100">
        <v>45</v>
      </c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2"/>
      <c r="S93" s="103">
        <f>$AW$2+6900</f>
        <v>23400</v>
      </c>
      <c r="T93" s="75"/>
      <c r="U93" s="75"/>
      <c r="V93" s="75"/>
      <c r="W93" s="75"/>
      <c r="X93" s="75"/>
      <c r="Y93" s="75"/>
      <c r="Z93" s="75"/>
      <c r="AA93" s="75">
        <f>$AW$2+6900+300</f>
        <v>23700</v>
      </c>
      <c r="AB93" s="75"/>
      <c r="AC93" s="75"/>
      <c r="AD93" s="75"/>
      <c r="AE93" s="75"/>
      <c r="AF93" s="75"/>
      <c r="AG93" s="75"/>
      <c r="AH93" s="75"/>
      <c r="AI93" s="75">
        <f>$AW$2+6900+600</f>
        <v>24000</v>
      </c>
      <c r="AJ93" s="75"/>
      <c r="AK93" s="75"/>
      <c r="AL93" s="75"/>
      <c r="AM93" s="75"/>
      <c r="AN93" s="75"/>
      <c r="AO93" s="75"/>
      <c r="AP93" s="75"/>
      <c r="AQ93" s="75">
        <f>$AW$2+6900+900</f>
        <v>24300</v>
      </c>
      <c r="AR93" s="75"/>
      <c r="AS93" s="75"/>
      <c r="AT93" s="75"/>
      <c r="AU93" s="75"/>
      <c r="AV93" s="75"/>
      <c r="AW93" s="75"/>
      <c r="AX93" s="75"/>
      <c r="AY93" s="75">
        <f>$AW$2+6900+1200</f>
        <v>24600</v>
      </c>
      <c r="AZ93" s="75"/>
      <c r="BA93" s="75"/>
      <c r="BB93" s="75"/>
      <c r="BC93" s="75"/>
      <c r="BD93" s="75"/>
      <c r="BE93" s="75"/>
      <c r="BF93" s="99"/>
    </row>
    <row r="94" spans="5:60" x14ac:dyDescent="0.15">
      <c r="F94" s="100">
        <v>48</v>
      </c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2"/>
      <c r="S94" s="103">
        <f>$AW$2+7700</f>
        <v>24200</v>
      </c>
      <c r="T94" s="75"/>
      <c r="U94" s="75"/>
      <c r="V94" s="75"/>
      <c r="W94" s="75"/>
      <c r="X94" s="75"/>
      <c r="Y94" s="75"/>
      <c r="Z94" s="75"/>
      <c r="AA94" s="75">
        <f>$AW$2+7700+300</f>
        <v>24500</v>
      </c>
      <c r="AB94" s="75"/>
      <c r="AC94" s="75"/>
      <c r="AD94" s="75"/>
      <c r="AE94" s="75"/>
      <c r="AF94" s="75"/>
      <c r="AG94" s="75"/>
      <c r="AH94" s="75"/>
      <c r="AI94" s="75">
        <f>$AW$2+7700+600</f>
        <v>24800</v>
      </c>
      <c r="AJ94" s="75"/>
      <c r="AK94" s="75"/>
      <c r="AL94" s="75"/>
      <c r="AM94" s="75"/>
      <c r="AN94" s="75"/>
      <c r="AO94" s="75"/>
      <c r="AP94" s="75"/>
      <c r="AQ94" s="75">
        <f>$AW$2+7700+900</f>
        <v>25100</v>
      </c>
      <c r="AR94" s="75"/>
      <c r="AS94" s="75"/>
      <c r="AT94" s="75"/>
      <c r="AU94" s="75"/>
      <c r="AV94" s="75"/>
      <c r="AW94" s="75"/>
      <c r="AX94" s="75"/>
      <c r="AY94" s="75">
        <f>$AW$2+7700+1200</f>
        <v>25400</v>
      </c>
      <c r="AZ94" s="75"/>
      <c r="BA94" s="75"/>
      <c r="BB94" s="75"/>
      <c r="BC94" s="75"/>
      <c r="BD94" s="75"/>
      <c r="BE94" s="75"/>
      <c r="BF94" s="99"/>
    </row>
    <row r="95" spans="5:60" x14ac:dyDescent="0.15">
      <c r="F95" s="100">
        <v>51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2"/>
      <c r="S95" s="103">
        <f>$AW$2+8800</f>
        <v>25300</v>
      </c>
      <c r="T95" s="75"/>
      <c r="U95" s="75"/>
      <c r="V95" s="75"/>
      <c r="W95" s="75"/>
      <c r="X95" s="75"/>
      <c r="Y95" s="75"/>
      <c r="Z95" s="75"/>
      <c r="AA95" s="75">
        <f>$AW$2+8800+300</f>
        <v>25600</v>
      </c>
      <c r="AB95" s="75"/>
      <c r="AC95" s="75"/>
      <c r="AD95" s="75"/>
      <c r="AE95" s="75"/>
      <c r="AF95" s="75"/>
      <c r="AG95" s="75"/>
      <c r="AH95" s="75"/>
      <c r="AI95" s="75">
        <f>$AW$2+8800+600</f>
        <v>25900</v>
      </c>
      <c r="AJ95" s="75"/>
      <c r="AK95" s="75"/>
      <c r="AL95" s="75"/>
      <c r="AM95" s="75"/>
      <c r="AN95" s="75"/>
      <c r="AO95" s="75"/>
      <c r="AP95" s="75"/>
      <c r="AQ95" s="75">
        <f>$AW$2+8800+900</f>
        <v>26200</v>
      </c>
      <c r="AR95" s="75"/>
      <c r="AS95" s="75"/>
      <c r="AT95" s="75"/>
      <c r="AU95" s="75"/>
      <c r="AV95" s="75"/>
      <c r="AW95" s="75"/>
      <c r="AX95" s="75"/>
      <c r="AY95" s="75">
        <f>$AW$2+8800+1200</f>
        <v>26500</v>
      </c>
      <c r="AZ95" s="75"/>
      <c r="BA95" s="75"/>
      <c r="BB95" s="75"/>
      <c r="BC95" s="75"/>
      <c r="BD95" s="75"/>
      <c r="BE95" s="75"/>
      <c r="BF95" s="99"/>
    </row>
    <row r="96" spans="5:60" x14ac:dyDescent="0.15">
      <c r="F96" s="100">
        <v>54</v>
      </c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103">
        <f>$AW$2+9800</f>
        <v>26300</v>
      </c>
      <c r="T96" s="75"/>
      <c r="U96" s="75"/>
      <c r="V96" s="75"/>
      <c r="W96" s="75"/>
      <c r="X96" s="75"/>
      <c r="Y96" s="75"/>
      <c r="Z96" s="75"/>
      <c r="AA96" s="75">
        <f>$AW$2+9800+300</f>
        <v>26600</v>
      </c>
      <c r="AB96" s="75"/>
      <c r="AC96" s="75"/>
      <c r="AD96" s="75"/>
      <c r="AE96" s="75"/>
      <c r="AF96" s="75"/>
      <c r="AG96" s="75"/>
      <c r="AH96" s="75"/>
      <c r="AI96" s="75">
        <f>$AW$2+9800+600</f>
        <v>26900</v>
      </c>
      <c r="AJ96" s="75"/>
      <c r="AK96" s="75"/>
      <c r="AL96" s="75"/>
      <c r="AM96" s="75"/>
      <c r="AN96" s="75"/>
      <c r="AO96" s="75"/>
      <c r="AP96" s="75"/>
      <c r="AQ96" s="75">
        <f>$AW$2+9800+900</f>
        <v>27200</v>
      </c>
      <c r="AR96" s="75"/>
      <c r="AS96" s="75"/>
      <c r="AT96" s="75"/>
      <c r="AU96" s="75"/>
      <c r="AV96" s="75"/>
      <c r="AW96" s="75"/>
      <c r="AX96" s="75"/>
      <c r="AY96" s="75">
        <f>$AW$2+9800+1200</f>
        <v>27500</v>
      </c>
      <c r="AZ96" s="75"/>
      <c r="BA96" s="75"/>
      <c r="BB96" s="75"/>
      <c r="BC96" s="75"/>
      <c r="BD96" s="75"/>
      <c r="BE96" s="75"/>
      <c r="BF96" s="99"/>
    </row>
    <row r="97" spans="6:58" x14ac:dyDescent="0.15">
      <c r="F97" s="100">
        <v>57</v>
      </c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2"/>
      <c r="S97" s="103">
        <f>$AW$2+10800</f>
        <v>27300</v>
      </c>
      <c r="T97" s="75"/>
      <c r="U97" s="75"/>
      <c r="V97" s="75"/>
      <c r="W97" s="75"/>
      <c r="X97" s="75"/>
      <c r="Y97" s="75"/>
      <c r="Z97" s="75"/>
      <c r="AA97" s="75">
        <f>$AW$2+10800+300</f>
        <v>27600</v>
      </c>
      <c r="AB97" s="75"/>
      <c r="AC97" s="75"/>
      <c r="AD97" s="75"/>
      <c r="AE97" s="75"/>
      <c r="AF97" s="75"/>
      <c r="AG97" s="75"/>
      <c r="AH97" s="75"/>
      <c r="AI97" s="75">
        <f>$AW$2+10800+600</f>
        <v>27900</v>
      </c>
      <c r="AJ97" s="75"/>
      <c r="AK97" s="75"/>
      <c r="AL97" s="75"/>
      <c r="AM97" s="75"/>
      <c r="AN97" s="75"/>
      <c r="AO97" s="75"/>
      <c r="AP97" s="75"/>
      <c r="AQ97" s="75">
        <f>$AW$2+10800+900</f>
        <v>28200</v>
      </c>
      <c r="AR97" s="75"/>
      <c r="AS97" s="75"/>
      <c r="AT97" s="75"/>
      <c r="AU97" s="75"/>
      <c r="AV97" s="75"/>
      <c r="AW97" s="75"/>
      <c r="AX97" s="75"/>
      <c r="AY97" s="75">
        <f>$AW$2+10800+1200</f>
        <v>28500</v>
      </c>
      <c r="AZ97" s="75"/>
      <c r="BA97" s="75"/>
      <c r="BB97" s="75"/>
      <c r="BC97" s="75"/>
      <c r="BD97" s="75"/>
      <c r="BE97" s="75"/>
      <c r="BF97" s="99"/>
    </row>
    <row r="98" spans="6:58" x14ac:dyDescent="0.15">
      <c r="F98" s="110">
        <v>60</v>
      </c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2"/>
      <c r="S98" s="113">
        <f>$AW$2+11600</f>
        <v>28100</v>
      </c>
      <c r="T98" s="91"/>
      <c r="U98" s="91"/>
      <c r="V98" s="91"/>
      <c r="W98" s="91"/>
      <c r="X98" s="91"/>
      <c r="Y98" s="91"/>
      <c r="Z98" s="91"/>
      <c r="AA98" s="91">
        <f>$AW$2+11600+300</f>
        <v>28400</v>
      </c>
      <c r="AB98" s="91"/>
      <c r="AC98" s="91"/>
      <c r="AD98" s="91"/>
      <c r="AE98" s="91"/>
      <c r="AF98" s="91"/>
      <c r="AG98" s="91"/>
      <c r="AH98" s="91"/>
      <c r="AI98" s="91">
        <f>$AW$2+11600+600</f>
        <v>28700</v>
      </c>
      <c r="AJ98" s="91"/>
      <c r="AK98" s="91"/>
      <c r="AL98" s="91"/>
      <c r="AM98" s="91"/>
      <c r="AN98" s="91"/>
      <c r="AO98" s="91"/>
      <c r="AP98" s="91"/>
      <c r="AQ98" s="91">
        <f>$AW$2+11600+900</f>
        <v>29000</v>
      </c>
      <c r="AR98" s="91"/>
      <c r="AS98" s="91"/>
      <c r="AT98" s="91"/>
      <c r="AU98" s="91"/>
      <c r="AV98" s="91"/>
      <c r="AW98" s="91"/>
      <c r="AX98" s="91"/>
      <c r="AY98" s="91">
        <f>$AW$2+11600+1200</f>
        <v>29300</v>
      </c>
      <c r="AZ98" s="91"/>
      <c r="BA98" s="91"/>
      <c r="BB98" s="91"/>
      <c r="BC98" s="91"/>
      <c r="BD98" s="91"/>
      <c r="BE98" s="91"/>
      <c r="BF98" s="114"/>
    </row>
    <row r="100" spans="6:58" ht="13.5" customHeight="1" x14ac:dyDescent="0.15">
      <c r="F100" s="67" t="s">
        <v>40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6:58" ht="13.5" customHeight="1" x14ac:dyDescent="0.15">
      <c r="F101" s="67" t="s">
        <v>30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6:58" ht="13.5" customHeight="1" x14ac:dyDescent="0.15">
      <c r="F102" s="109" t="s">
        <v>38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95" t="s">
        <v>31</v>
      </c>
      <c r="T102" s="96"/>
      <c r="U102" s="96"/>
      <c r="V102" s="96"/>
      <c r="W102" s="96"/>
      <c r="X102" s="96"/>
      <c r="Y102" s="96"/>
      <c r="Z102" s="96"/>
      <c r="AA102" s="79" t="s">
        <v>32</v>
      </c>
      <c r="AB102" s="79"/>
      <c r="AC102" s="79"/>
      <c r="AD102" s="79"/>
      <c r="AE102" s="79"/>
      <c r="AF102" s="79"/>
      <c r="AG102" s="79"/>
      <c r="AH102" s="79"/>
      <c r="AI102" s="79" t="s">
        <v>32</v>
      </c>
      <c r="AJ102" s="79"/>
      <c r="AK102" s="79"/>
      <c r="AL102" s="79"/>
      <c r="AM102" s="79"/>
      <c r="AN102" s="79"/>
      <c r="AO102" s="79"/>
      <c r="AP102" s="79"/>
      <c r="AQ102" s="79" t="s">
        <v>32</v>
      </c>
      <c r="AR102" s="79"/>
      <c r="AS102" s="79"/>
      <c r="AT102" s="79"/>
      <c r="AU102" s="79"/>
      <c r="AV102" s="79"/>
      <c r="AW102" s="79"/>
      <c r="AX102" s="79"/>
      <c r="AY102" s="79" t="s">
        <v>32</v>
      </c>
      <c r="AZ102" s="79"/>
      <c r="BA102" s="79"/>
      <c r="BB102" s="79"/>
      <c r="BC102" s="79"/>
      <c r="BD102" s="79"/>
      <c r="BE102" s="79"/>
      <c r="BF102" s="80"/>
    </row>
    <row r="103" spans="6:58" ht="13.5" customHeight="1" x14ac:dyDescent="0.15">
      <c r="F103" s="116" t="s">
        <v>39</v>
      </c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95" t="s">
        <v>33</v>
      </c>
      <c r="T103" s="96"/>
      <c r="U103" s="96"/>
      <c r="V103" s="96"/>
      <c r="W103" s="96"/>
      <c r="X103" s="96"/>
      <c r="Y103" s="96"/>
      <c r="Z103" s="96"/>
      <c r="AA103" s="79" t="s">
        <v>34</v>
      </c>
      <c r="AB103" s="79"/>
      <c r="AC103" s="79"/>
      <c r="AD103" s="79"/>
      <c r="AE103" s="79"/>
      <c r="AF103" s="79"/>
      <c r="AG103" s="79"/>
      <c r="AH103" s="79"/>
      <c r="AI103" s="79" t="s">
        <v>35</v>
      </c>
      <c r="AJ103" s="79"/>
      <c r="AK103" s="79"/>
      <c r="AL103" s="79"/>
      <c r="AM103" s="79"/>
      <c r="AN103" s="79"/>
      <c r="AO103" s="79"/>
      <c r="AP103" s="79"/>
      <c r="AQ103" s="79" t="s">
        <v>36</v>
      </c>
      <c r="AR103" s="79"/>
      <c r="AS103" s="79"/>
      <c r="AT103" s="79"/>
      <c r="AU103" s="79"/>
      <c r="AV103" s="79"/>
      <c r="AW103" s="79"/>
      <c r="AX103" s="79"/>
      <c r="AY103" s="79" t="s">
        <v>37</v>
      </c>
      <c r="AZ103" s="79"/>
      <c r="BA103" s="79"/>
      <c r="BB103" s="79"/>
      <c r="BC103" s="79"/>
      <c r="BD103" s="79"/>
      <c r="BE103" s="79"/>
      <c r="BF103" s="80"/>
    </row>
    <row r="104" spans="6:58" ht="14.25" customHeight="1" x14ac:dyDescent="0.15">
      <c r="F104" s="115">
        <v>39</v>
      </c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60">
        <f>$AW$2+7300</f>
        <v>23800</v>
      </c>
      <c r="T104" s="61"/>
      <c r="U104" s="61"/>
      <c r="V104" s="61"/>
      <c r="W104" s="61"/>
      <c r="X104" s="61"/>
      <c r="Y104" s="61"/>
      <c r="Z104" s="61"/>
      <c r="AA104" s="61">
        <f>$AW$2+7300+300</f>
        <v>24100</v>
      </c>
      <c r="AB104" s="61"/>
      <c r="AC104" s="61"/>
      <c r="AD104" s="61"/>
      <c r="AE104" s="61"/>
      <c r="AF104" s="61"/>
      <c r="AG104" s="61"/>
      <c r="AH104" s="61"/>
      <c r="AI104" s="61">
        <f>$AW$2+7300+600</f>
        <v>24400</v>
      </c>
      <c r="AJ104" s="61"/>
      <c r="AK104" s="61"/>
      <c r="AL104" s="61"/>
      <c r="AM104" s="61"/>
      <c r="AN104" s="61"/>
      <c r="AO104" s="61"/>
      <c r="AP104" s="61"/>
      <c r="AQ104" s="61">
        <f>$AW$2+7300+900</f>
        <v>24700</v>
      </c>
      <c r="AR104" s="61"/>
      <c r="AS104" s="61"/>
      <c r="AT104" s="61"/>
      <c r="AU104" s="61"/>
      <c r="AV104" s="61"/>
      <c r="AW104" s="61"/>
      <c r="AX104" s="61"/>
      <c r="AY104" s="61">
        <f>$AW$2+7300+1200</f>
        <v>25000</v>
      </c>
      <c r="AZ104" s="61"/>
      <c r="BA104" s="61"/>
      <c r="BB104" s="61"/>
      <c r="BC104" s="61"/>
      <c r="BD104" s="61"/>
      <c r="BE104" s="61"/>
      <c r="BF104" s="105"/>
    </row>
    <row r="105" spans="6:58" x14ac:dyDescent="0.15">
      <c r="F105" s="117">
        <v>42</v>
      </c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74">
        <f>$AW$2+7900</f>
        <v>24400</v>
      </c>
      <c r="T105" s="75"/>
      <c r="U105" s="75"/>
      <c r="V105" s="75"/>
      <c r="W105" s="75"/>
      <c r="X105" s="75"/>
      <c r="Y105" s="75"/>
      <c r="Z105" s="75"/>
      <c r="AA105" s="75">
        <f>$AW$2+7900+300</f>
        <v>24700</v>
      </c>
      <c r="AB105" s="75"/>
      <c r="AC105" s="75"/>
      <c r="AD105" s="75"/>
      <c r="AE105" s="75"/>
      <c r="AF105" s="75"/>
      <c r="AG105" s="75"/>
      <c r="AH105" s="75"/>
      <c r="AI105" s="75">
        <f>$AW$2+7900+600</f>
        <v>25000</v>
      </c>
      <c r="AJ105" s="75"/>
      <c r="AK105" s="75"/>
      <c r="AL105" s="75"/>
      <c r="AM105" s="75"/>
      <c r="AN105" s="75"/>
      <c r="AO105" s="75"/>
      <c r="AP105" s="75"/>
      <c r="AQ105" s="75">
        <f>$AW$2+7900+900</f>
        <v>25300</v>
      </c>
      <c r="AR105" s="75"/>
      <c r="AS105" s="75"/>
      <c r="AT105" s="75"/>
      <c r="AU105" s="75"/>
      <c r="AV105" s="75"/>
      <c r="AW105" s="75"/>
      <c r="AX105" s="75"/>
      <c r="AY105" s="75">
        <f>$AW$2+7900+1200</f>
        <v>25600</v>
      </c>
      <c r="AZ105" s="75"/>
      <c r="BA105" s="75"/>
      <c r="BB105" s="75"/>
      <c r="BC105" s="75"/>
      <c r="BD105" s="75"/>
      <c r="BE105" s="75"/>
      <c r="BF105" s="99"/>
    </row>
    <row r="106" spans="6:58" x14ac:dyDescent="0.15">
      <c r="F106" s="117">
        <v>45</v>
      </c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74">
        <f>$AW$2+8300</f>
        <v>24800</v>
      </c>
      <c r="T106" s="75"/>
      <c r="U106" s="75"/>
      <c r="V106" s="75"/>
      <c r="W106" s="75"/>
      <c r="X106" s="75"/>
      <c r="Y106" s="75"/>
      <c r="Z106" s="75"/>
      <c r="AA106" s="75">
        <f>$AW$2+8300+300</f>
        <v>25100</v>
      </c>
      <c r="AB106" s="75"/>
      <c r="AC106" s="75"/>
      <c r="AD106" s="75"/>
      <c r="AE106" s="75"/>
      <c r="AF106" s="75"/>
      <c r="AG106" s="75"/>
      <c r="AH106" s="75"/>
      <c r="AI106" s="75">
        <f>$AW$2+8300+600</f>
        <v>25400</v>
      </c>
      <c r="AJ106" s="75"/>
      <c r="AK106" s="75"/>
      <c r="AL106" s="75"/>
      <c r="AM106" s="75"/>
      <c r="AN106" s="75"/>
      <c r="AO106" s="75"/>
      <c r="AP106" s="75"/>
      <c r="AQ106" s="75">
        <f>$AW$2+8300+900</f>
        <v>25700</v>
      </c>
      <c r="AR106" s="75"/>
      <c r="AS106" s="75"/>
      <c r="AT106" s="75"/>
      <c r="AU106" s="75"/>
      <c r="AV106" s="75"/>
      <c r="AW106" s="75"/>
      <c r="AX106" s="75"/>
      <c r="AY106" s="75">
        <f>$AW$2+8300+1200</f>
        <v>26000</v>
      </c>
      <c r="AZ106" s="75"/>
      <c r="BA106" s="75"/>
      <c r="BB106" s="75"/>
      <c r="BC106" s="75"/>
      <c r="BD106" s="75"/>
      <c r="BE106" s="75"/>
      <c r="BF106" s="99"/>
    </row>
    <row r="107" spans="6:58" x14ac:dyDescent="0.15">
      <c r="F107" s="117">
        <v>48</v>
      </c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74">
        <f>$AW$2+8700</f>
        <v>25200</v>
      </c>
      <c r="T107" s="75"/>
      <c r="U107" s="75"/>
      <c r="V107" s="75"/>
      <c r="W107" s="75"/>
      <c r="X107" s="75"/>
      <c r="Y107" s="75"/>
      <c r="Z107" s="75"/>
      <c r="AA107" s="75">
        <f>$AW$2+8700+300</f>
        <v>25500</v>
      </c>
      <c r="AB107" s="75"/>
      <c r="AC107" s="75"/>
      <c r="AD107" s="75"/>
      <c r="AE107" s="75"/>
      <c r="AF107" s="75"/>
      <c r="AG107" s="75"/>
      <c r="AH107" s="75"/>
      <c r="AI107" s="75">
        <f>$AW$2+8700+600</f>
        <v>25800</v>
      </c>
      <c r="AJ107" s="75"/>
      <c r="AK107" s="75"/>
      <c r="AL107" s="75"/>
      <c r="AM107" s="75"/>
      <c r="AN107" s="75"/>
      <c r="AO107" s="75"/>
      <c r="AP107" s="75"/>
      <c r="AQ107" s="75">
        <f>$AW$2+8700+900</f>
        <v>26100</v>
      </c>
      <c r="AR107" s="75"/>
      <c r="AS107" s="75"/>
      <c r="AT107" s="75"/>
      <c r="AU107" s="75"/>
      <c r="AV107" s="75"/>
      <c r="AW107" s="75"/>
      <c r="AX107" s="75"/>
      <c r="AY107" s="75">
        <f>$AW$2+8700+1200</f>
        <v>26400</v>
      </c>
      <c r="AZ107" s="75"/>
      <c r="BA107" s="75"/>
      <c r="BB107" s="75"/>
      <c r="BC107" s="75"/>
      <c r="BD107" s="75"/>
      <c r="BE107" s="75"/>
      <c r="BF107" s="99"/>
    </row>
    <row r="108" spans="6:58" x14ac:dyDescent="0.15">
      <c r="F108" s="117">
        <v>51</v>
      </c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74">
        <f>$AW$2+9800</f>
        <v>26300</v>
      </c>
      <c r="T108" s="75"/>
      <c r="U108" s="75"/>
      <c r="V108" s="75"/>
      <c r="W108" s="75"/>
      <c r="X108" s="75"/>
      <c r="Y108" s="75"/>
      <c r="Z108" s="75"/>
      <c r="AA108" s="75">
        <f>$AW$2+9800+250</f>
        <v>26550</v>
      </c>
      <c r="AB108" s="75"/>
      <c r="AC108" s="75"/>
      <c r="AD108" s="75"/>
      <c r="AE108" s="75"/>
      <c r="AF108" s="75"/>
      <c r="AG108" s="75"/>
      <c r="AH108" s="75"/>
      <c r="AI108" s="75">
        <f>$AW$2+9800+500</f>
        <v>26800</v>
      </c>
      <c r="AJ108" s="75"/>
      <c r="AK108" s="75"/>
      <c r="AL108" s="75"/>
      <c r="AM108" s="75"/>
      <c r="AN108" s="75"/>
      <c r="AO108" s="75"/>
      <c r="AP108" s="75"/>
      <c r="AQ108" s="75">
        <f>$AW$2+9800+750</f>
        <v>27050</v>
      </c>
      <c r="AR108" s="75"/>
      <c r="AS108" s="75"/>
      <c r="AT108" s="75"/>
      <c r="AU108" s="75"/>
      <c r="AV108" s="75"/>
      <c r="AW108" s="75"/>
      <c r="AX108" s="75"/>
      <c r="AY108" s="75">
        <f>$AW$2+9800+1000</f>
        <v>27300</v>
      </c>
      <c r="AZ108" s="75"/>
      <c r="BA108" s="75"/>
      <c r="BB108" s="75"/>
      <c r="BC108" s="75"/>
      <c r="BD108" s="75"/>
      <c r="BE108" s="75"/>
      <c r="BF108" s="99"/>
    </row>
    <row r="109" spans="6:58" x14ac:dyDescent="0.15">
      <c r="F109" s="117">
        <v>54</v>
      </c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74">
        <f>$AW$2+10800</f>
        <v>27300</v>
      </c>
      <c r="T109" s="75"/>
      <c r="U109" s="75"/>
      <c r="V109" s="75"/>
      <c r="W109" s="75"/>
      <c r="X109" s="75"/>
      <c r="Y109" s="75"/>
      <c r="Z109" s="75"/>
      <c r="AA109" s="75">
        <f>$AW$2+10800+300</f>
        <v>27600</v>
      </c>
      <c r="AB109" s="75"/>
      <c r="AC109" s="75"/>
      <c r="AD109" s="75"/>
      <c r="AE109" s="75"/>
      <c r="AF109" s="75"/>
      <c r="AG109" s="75"/>
      <c r="AH109" s="75"/>
      <c r="AI109" s="75">
        <f>$AW$2+10800+600</f>
        <v>27900</v>
      </c>
      <c r="AJ109" s="75"/>
      <c r="AK109" s="75"/>
      <c r="AL109" s="75"/>
      <c r="AM109" s="75"/>
      <c r="AN109" s="75"/>
      <c r="AO109" s="75"/>
      <c r="AP109" s="75"/>
      <c r="AQ109" s="75">
        <f>$AW$2+10800+900</f>
        <v>28200</v>
      </c>
      <c r="AR109" s="75"/>
      <c r="AS109" s="75"/>
      <c r="AT109" s="75"/>
      <c r="AU109" s="75"/>
      <c r="AV109" s="75"/>
      <c r="AW109" s="75"/>
      <c r="AX109" s="75"/>
      <c r="AY109" s="75">
        <f>$AW$2+10800+1200</f>
        <v>28500</v>
      </c>
      <c r="AZ109" s="75"/>
      <c r="BA109" s="75"/>
      <c r="BB109" s="75"/>
      <c r="BC109" s="75"/>
      <c r="BD109" s="75"/>
      <c r="BE109" s="75"/>
      <c r="BF109" s="99"/>
    </row>
    <row r="110" spans="6:58" x14ac:dyDescent="0.15">
      <c r="F110" s="117">
        <v>57</v>
      </c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74">
        <f>$AW$2+11800</f>
        <v>28300</v>
      </c>
      <c r="T110" s="75"/>
      <c r="U110" s="75"/>
      <c r="V110" s="75"/>
      <c r="W110" s="75"/>
      <c r="X110" s="75"/>
      <c r="Y110" s="75"/>
      <c r="Z110" s="75"/>
      <c r="AA110" s="75">
        <f>$AW$2+11800+300</f>
        <v>28600</v>
      </c>
      <c r="AB110" s="75"/>
      <c r="AC110" s="75"/>
      <c r="AD110" s="75"/>
      <c r="AE110" s="75"/>
      <c r="AF110" s="75"/>
      <c r="AG110" s="75"/>
      <c r="AH110" s="75"/>
      <c r="AI110" s="75">
        <f>$AW$2+11800+600</f>
        <v>28900</v>
      </c>
      <c r="AJ110" s="75"/>
      <c r="AK110" s="75"/>
      <c r="AL110" s="75"/>
      <c r="AM110" s="75"/>
      <c r="AN110" s="75"/>
      <c r="AO110" s="75"/>
      <c r="AP110" s="75"/>
      <c r="AQ110" s="75">
        <f>$AW$2+11800+900</f>
        <v>29200</v>
      </c>
      <c r="AR110" s="75"/>
      <c r="AS110" s="75"/>
      <c r="AT110" s="75"/>
      <c r="AU110" s="75"/>
      <c r="AV110" s="75"/>
      <c r="AW110" s="75"/>
      <c r="AX110" s="75"/>
      <c r="AY110" s="75">
        <f>$AW$2+11800+1200</f>
        <v>29500</v>
      </c>
      <c r="AZ110" s="75"/>
      <c r="BA110" s="75"/>
      <c r="BB110" s="75"/>
      <c r="BC110" s="75"/>
      <c r="BD110" s="75"/>
      <c r="BE110" s="75"/>
      <c r="BF110" s="99"/>
    </row>
    <row r="111" spans="6:58" x14ac:dyDescent="0.15">
      <c r="F111" s="121">
        <v>60</v>
      </c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90">
        <f>$AW$2+13000</f>
        <v>29500</v>
      </c>
      <c r="T111" s="91"/>
      <c r="U111" s="91"/>
      <c r="V111" s="91"/>
      <c r="W111" s="91"/>
      <c r="X111" s="91"/>
      <c r="Y111" s="91"/>
      <c r="Z111" s="91"/>
      <c r="AA111" s="91">
        <f>$AW$2+13000+300</f>
        <v>29800</v>
      </c>
      <c r="AB111" s="91"/>
      <c r="AC111" s="91"/>
      <c r="AD111" s="91"/>
      <c r="AE111" s="91"/>
      <c r="AF111" s="91"/>
      <c r="AG111" s="91"/>
      <c r="AH111" s="91"/>
      <c r="AI111" s="91">
        <f>$AW$2+13000+600</f>
        <v>30100</v>
      </c>
      <c r="AJ111" s="91"/>
      <c r="AK111" s="91"/>
      <c r="AL111" s="91"/>
      <c r="AM111" s="91"/>
      <c r="AN111" s="91"/>
      <c r="AO111" s="91"/>
      <c r="AP111" s="91"/>
      <c r="AQ111" s="91">
        <f>$AW$2+13000+900</f>
        <v>30400</v>
      </c>
      <c r="AR111" s="91"/>
      <c r="AS111" s="91"/>
      <c r="AT111" s="91"/>
      <c r="AU111" s="91"/>
      <c r="AV111" s="91"/>
      <c r="AW111" s="91"/>
      <c r="AX111" s="91"/>
      <c r="AY111" s="91">
        <f>$AW$2+13000+1200</f>
        <v>30700</v>
      </c>
      <c r="AZ111" s="91"/>
      <c r="BA111" s="91"/>
      <c r="BB111" s="91"/>
      <c r="BC111" s="91"/>
      <c r="BD111" s="91"/>
      <c r="BE111" s="91"/>
      <c r="BF111" s="114"/>
    </row>
    <row r="113" spans="5:58" x14ac:dyDescent="0.15">
      <c r="E113" t="s">
        <v>77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5:58" x14ac:dyDescent="0.15">
      <c r="E114" s="7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19" t="s">
        <v>76</v>
      </c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96" t="s">
        <v>48</v>
      </c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 t="s">
        <v>49</v>
      </c>
      <c r="AP114" s="96"/>
      <c r="AQ114" s="96"/>
      <c r="AR114" s="96"/>
      <c r="AS114" s="96"/>
      <c r="AT114" s="96"/>
      <c r="AU114" s="96"/>
      <c r="AV114" s="96"/>
      <c r="AW114" s="96"/>
      <c r="AX114" s="96"/>
      <c r="AY114" s="118"/>
    </row>
    <row r="115" spans="5:58" x14ac:dyDescent="0.15">
      <c r="F115" s="125" t="s">
        <v>89</v>
      </c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60">
        <f>$AW$2</f>
        <v>16500</v>
      </c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 t="s">
        <v>65</v>
      </c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 t="s">
        <v>53</v>
      </c>
      <c r="AP115" s="61"/>
      <c r="AQ115" s="61"/>
      <c r="AR115" s="61"/>
      <c r="AS115" s="61"/>
      <c r="AT115" s="61"/>
      <c r="AU115" s="61"/>
      <c r="AV115" s="61"/>
      <c r="AW115" s="61"/>
      <c r="AX115" s="61"/>
      <c r="AY115" s="105"/>
    </row>
    <row r="116" spans="5:58" ht="13.5" customHeight="1" x14ac:dyDescent="0.15">
      <c r="F116" s="123" t="s">
        <v>90</v>
      </c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74">
        <f>$AW$2+11200</f>
        <v>27700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>
        <f>$AW$2+11200+1800</f>
        <v>29500</v>
      </c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>
        <f>$AW$2+11200+3700</f>
        <v>31400</v>
      </c>
      <c r="AP116" s="75"/>
      <c r="AQ116" s="75"/>
      <c r="AR116" s="75"/>
      <c r="AS116" s="75"/>
      <c r="AT116" s="75"/>
      <c r="AU116" s="75"/>
      <c r="AV116" s="75"/>
      <c r="AW116" s="75"/>
      <c r="AX116" s="75"/>
      <c r="AY116" s="99"/>
    </row>
    <row r="117" spans="5:58" ht="13.5" customHeight="1" x14ac:dyDescent="0.15">
      <c r="F117" s="123" t="s">
        <v>41</v>
      </c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74">
        <f>$AW$2+5600</f>
        <v>22100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>
        <f>$AW$2+5600+1100</f>
        <v>23200</v>
      </c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>
        <f>$AW$2+5600+3100</f>
        <v>25200</v>
      </c>
      <c r="AP117" s="75"/>
      <c r="AQ117" s="75"/>
      <c r="AR117" s="75"/>
      <c r="AS117" s="75"/>
      <c r="AT117" s="75"/>
      <c r="AU117" s="75"/>
      <c r="AV117" s="75"/>
      <c r="AW117" s="75"/>
      <c r="AX117" s="75"/>
      <c r="AY117" s="99"/>
    </row>
    <row r="118" spans="5:58" ht="14.25" customHeight="1" x14ac:dyDescent="0.15">
      <c r="F118" s="117" t="s">
        <v>42</v>
      </c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74">
        <f>$AW$2+4600</f>
        <v>21100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>
        <f>$AW$2+4600+1000</f>
        <v>22100</v>
      </c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>
        <f>$AW$2+4600+2900</f>
        <v>24000</v>
      </c>
      <c r="AP118" s="75"/>
      <c r="AQ118" s="75"/>
      <c r="AR118" s="75"/>
      <c r="AS118" s="75"/>
      <c r="AT118" s="75"/>
      <c r="AU118" s="75"/>
      <c r="AV118" s="75"/>
      <c r="AW118" s="75"/>
      <c r="AX118" s="75"/>
      <c r="AY118" s="99"/>
    </row>
    <row r="119" spans="5:58" ht="13.5" customHeight="1" x14ac:dyDescent="0.15">
      <c r="F119" s="123" t="s">
        <v>43</v>
      </c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74">
        <f>$AW$2+3600</f>
        <v>20100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>
        <f>$AW$2+3600+900</f>
        <v>21000</v>
      </c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>
        <f>$AW$2+3600+2800</f>
        <v>22900</v>
      </c>
      <c r="AP119" s="75"/>
      <c r="AQ119" s="75"/>
      <c r="AR119" s="75"/>
      <c r="AS119" s="75"/>
      <c r="AT119" s="75"/>
      <c r="AU119" s="75"/>
      <c r="AV119" s="75"/>
      <c r="AW119" s="75"/>
      <c r="AX119" s="75"/>
      <c r="AY119" s="99"/>
    </row>
    <row r="120" spans="5:58" ht="13.5" customHeight="1" x14ac:dyDescent="0.15">
      <c r="F120" s="123" t="s">
        <v>44</v>
      </c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74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99"/>
    </row>
    <row r="121" spans="5:58" ht="13.5" customHeight="1" x14ac:dyDescent="0.15">
      <c r="F121" s="123" t="s">
        <v>45</v>
      </c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74">
        <f>$AW$2+2600</f>
        <v>19100</v>
      </c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>
        <f>$AW$2+2600+700</f>
        <v>19800</v>
      </c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>
        <f>$AW$2+2600+2500</f>
        <v>21600</v>
      </c>
      <c r="AP121" s="75"/>
      <c r="AQ121" s="75"/>
      <c r="AR121" s="75"/>
      <c r="AS121" s="75"/>
      <c r="AT121" s="75"/>
      <c r="AU121" s="75"/>
      <c r="AV121" s="75"/>
      <c r="AW121" s="75"/>
      <c r="AX121" s="75"/>
      <c r="AY121" s="99"/>
    </row>
    <row r="122" spans="5:58" ht="13.5" customHeight="1" x14ac:dyDescent="0.15">
      <c r="F122" s="123" t="s">
        <v>46</v>
      </c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74">
        <f>$AW$2+1700</f>
        <v>18200</v>
      </c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>
        <f>$AW$2+1700+600</f>
        <v>18800</v>
      </c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>
        <f>$AW$2+1700+2400</f>
        <v>20600</v>
      </c>
      <c r="AP122" s="75"/>
      <c r="AQ122" s="75"/>
      <c r="AR122" s="75"/>
      <c r="AS122" s="75"/>
      <c r="AT122" s="75"/>
      <c r="AU122" s="75"/>
      <c r="AV122" s="75"/>
      <c r="AW122" s="75"/>
      <c r="AX122" s="75"/>
      <c r="AY122" s="99"/>
    </row>
    <row r="123" spans="5:58" ht="13.5" customHeight="1" x14ac:dyDescent="0.15">
      <c r="F123" s="124" t="s">
        <v>47</v>
      </c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90">
        <f>$AW$2+1000</f>
        <v>17500</v>
      </c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>
        <f>$AW$2+1000+500</f>
        <v>18000</v>
      </c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>
        <f>$AW$2+1000+2300</f>
        <v>19800</v>
      </c>
      <c r="AP123" s="91"/>
      <c r="AQ123" s="91"/>
      <c r="AR123" s="91"/>
      <c r="AS123" s="91"/>
      <c r="AT123" s="91"/>
      <c r="AU123" s="91"/>
      <c r="AV123" s="91"/>
      <c r="AW123" s="91"/>
      <c r="AX123" s="91"/>
      <c r="AY123" s="114"/>
    </row>
    <row r="124" spans="5:58" ht="13.5" customHeight="1" x14ac:dyDescent="0.15"/>
    <row r="125" spans="5:58" x14ac:dyDescent="0.15">
      <c r="E125" t="s">
        <v>50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5:58" ht="13.5" customHeight="1" x14ac:dyDescent="0.15">
      <c r="E126" t="s">
        <v>51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5:58" x14ac:dyDescent="0.15">
      <c r="E127" t="s">
        <v>52</v>
      </c>
    </row>
    <row r="128" spans="5:58" x14ac:dyDescent="0.15">
      <c r="F128" s="126" t="s">
        <v>2</v>
      </c>
      <c r="G128" s="127"/>
      <c r="H128" s="127"/>
      <c r="I128" s="127"/>
      <c r="J128" s="127"/>
      <c r="K128" s="127"/>
      <c r="L128" s="127"/>
      <c r="M128" s="127"/>
      <c r="N128" s="127"/>
      <c r="O128" s="128"/>
      <c r="P128" s="132" t="s">
        <v>3</v>
      </c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4"/>
    </row>
    <row r="129" spans="6:47" ht="46.5" customHeight="1" x14ac:dyDescent="0.15">
      <c r="F129" s="129"/>
      <c r="G129" s="130"/>
      <c r="H129" s="130"/>
      <c r="I129" s="130"/>
      <c r="J129" s="130"/>
      <c r="K129" s="130"/>
      <c r="L129" s="130"/>
      <c r="M129" s="130"/>
      <c r="N129" s="130"/>
      <c r="O129" s="131"/>
      <c r="P129" s="135" t="s">
        <v>4</v>
      </c>
      <c r="Q129" s="136"/>
      <c r="R129" s="136"/>
      <c r="S129" s="136"/>
      <c r="T129" s="136"/>
      <c r="U129" s="136"/>
      <c r="V129" s="137" t="s">
        <v>78</v>
      </c>
      <c r="W129" s="137"/>
      <c r="X129" s="137"/>
      <c r="Y129" s="137"/>
      <c r="Z129" s="137"/>
      <c r="AA129" s="137"/>
      <c r="AB129" s="137"/>
      <c r="AC129" s="137"/>
      <c r="AD129" s="137"/>
      <c r="AE129" s="138"/>
      <c r="AF129" s="135" t="s">
        <v>4</v>
      </c>
      <c r="AG129" s="136"/>
      <c r="AH129" s="136"/>
      <c r="AI129" s="136"/>
      <c r="AJ129" s="136"/>
      <c r="AK129" s="136"/>
      <c r="AL129" s="137" t="s">
        <v>79</v>
      </c>
      <c r="AM129" s="137"/>
      <c r="AN129" s="137"/>
      <c r="AO129" s="137"/>
      <c r="AP129" s="137"/>
      <c r="AQ129" s="137"/>
      <c r="AR129" s="137"/>
      <c r="AS129" s="137"/>
      <c r="AT129" s="137"/>
      <c r="AU129" s="139"/>
    </row>
    <row r="130" spans="6:47" ht="14.25" customHeight="1" x14ac:dyDescent="0.15">
      <c r="F130" s="140">
        <v>65</v>
      </c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21</v>
      </c>
      <c r="Q130" s="144"/>
      <c r="R130" s="144"/>
      <c r="S130" s="144"/>
      <c r="T130" s="144"/>
      <c r="U130" s="144"/>
      <c r="V130" s="145">
        <f>$AW$2+300</f>
        <v>16800</v>
      </c>
      <c r="W130" s="145"/>
      <c r="X130" s="145"/>
      <c r="Y130" s="145"/>
      <c r="Z130" s="145"/>
      <c r="AA130" s="145"/>
      <c r="AB130" s="145"/>
      <c r="AC130" s="145"/>
      <c r="AD130" s="145"/>
      <c r="AE130" s="146"/>
      <c r="AF130" s="143" t="s">
        <v>80</v>
      </c>
      <c r="AG130" s="144"/>
      <c r="AH130" s="144"/>
      <c r="AI130" s="144"/>
      <c r="AJ130" s="144"/>
      <c r="AK130" s="144"/>
      <c r="AL130" s="145" t="s">
        <v>82</v>
      </c>
      <c r="AM130" s="145"/>
      <c r="AN130" s="145"/>
      <c r="AO130" s="145"/>
      <c r="AP130" s="145"/>
      <c r="AQ130" s="145"/>
      <c r="AR130" s="145"/>
      <c r="AS130" s="145"/>
      <c r="AT130" s="145"/>
      <c r="AU130" s="147"/>
    </row>
    <row r="131" spans="6:47" x14ac:dyDescent="0.15">
      <c r="F131" s="148">
        <v>60</v>
      </c>
      <c r="G131" s="149"/>
      <c r="H131" s="149"/>
      <c r="I131" s="149"/>
      <c r="J131" s="149"/>
      <c r="K131" s="149"/>
      <c r="L131" s="149"/>
      <c r="M131" s="149"/>
      <c r="N131" s="149"/>
      <c r="O131" s="150"/>
      <c r="P131" s="151">
        <v>24</v>
      </c>
      <c r="Q131" s="152"/>
      <c r="R131" s="152"/>
      <c r="S131" s="152"/>
      <c r="T131" s="152"/>
      <c r="U131" s="152"/>
      <c r="V131" s="153">
        <f>$AW$2+600</f>
        <v>17100</v>
      </c>
      <c r="W131" s="153"/>
      <c r="X131" s="153"/>
      <c r="Y131" s="153"/>
      <c r="Z131" s="153"/>
      <c r="AA131" s="153"/>
      <c r="AB131" s="153"/>
      <c r="AC131" s="153"/>
      <c r="AD131" s="153"/>
      <c r="AE131" s="154"/>
      <c r="AF131" s="151" t="s">
        <v>81</v>
      </c>
      <c r="AG131" s="152"/>
      <c r="AH131" s="152"/>
      <c r="AI131" s="152"/>
      <c r="AJ131" s="152"/>
      <c r="AK131" s="152"/>
      <c r="AL131" s="153" t="s">
        <v>83</v>
      </c>
      <c r="AM131" s="153"/>
      <c r="AN131" s="153"/>
      <c r="AO131" s="153"/>
      <c r="AP131" s="153"/>
      <c r="AQ131" s="153"/>
      <c r="AR131" s="153"/>
      <c r="AS131" s="153"/>
      <c r="AT131" s="153"/>
      <c r="AU131" s="155"/>
    </row>
    <row r="132" spans="6:47" x14ac:dyDescent="0.15">
      <c r="F132" s="148">
        <v>55</v>
      </c>
      <c r="G132" s="149"/>
      <c r="H132" s="149"/>
      <c r="I132" s="149"/>
      <c r="J132" s="149"/>
      <c r="K132" s="149"/>
      <c r="L132" s="149"/>
      <c r="M132" s="149"/>
      <c r="N132" s="149"/>
      <c r="O132" s="150"/>
      <c r="P132" s="151">
        <v>27</v>
      </c>
      <c r="Q132" s="152"/>
      <c r="R132" s="152"/>
      <c r="S132" s="152"/>
      <c r="T132" s="152"/>
      <c r="U132" s="152"/>
      <c r="V132" s="153">
        <f>$AW$2+900</f>
        <v>17400</v>
      </c>
      <c r="W132" s="153"/>
      <c r="X132" s="153"/>
      <c r="Y132" s="153"/>
      <c r="Z132" s="153"/>
      <c r="AA132" s="153"/>
      <c r="AB132" s="153"/>
      <c r="AC132" s="153"/>
      <c r="AD132" s="153"/>
      <c r="AE132" s="154"/>
      <c r="AF132" s="151">
        <v>27</v>
      </c>
      <c r="AG132" s="152"/>
      <c r="AH132" s="152"/>
      <c r="AI132" s="152"/>
      <c r="AJ132" s="152"/>
      <c r="AK132" s="152"/>
      <c r="AL132" s="153">
        <f>$AW$2+1700</f>
        <v>18200</v>
      </c>
      <c r="AM132" s="153"/>
      <c r="AN132" s="153"/>
      <c r="AO132" s="153"/>
      <c r="AP132" s="153"/>
      <c r="AQ132" s="153"/>
      <c r="AR132" s="153"/>
      <c r="AS132" s="153"/>
      <c r="AT132" s="153"/>
      <c r="AU132" s="155"/>
    </row>
    <row r="133" spans="6:47" x14ac:dyDescent="0.15">
      <c r="F133" s="156">
        <v>50</v>
      </c>
      <c r="G133" s="157"/>
      <c r="H133" s="157"/>
      <c r="I133" s="157"/>
      <c r="J133" s="157"/>
      <c r="K133" s="157"/>
      <c r="L133" s="157"/>
      <c r="M133" s="157"/>
      <c r="N133" s="157"/>
      <c r="O133" s="158"/>
      <c r="P133" s="159">
        <v>30</v>
      </c>
      <c r="Q133" s="160"/>
      <c r="R133" s="160"/>
      <c r="S133" s="160"/>
      <c r="T133" s="160"/>
      <c r="U133" s="160"/>
      <c r="V133" s="161">
        <f>$AW$2+1200</f>
        <v>17700</v>
      </c>
      <c r="W133" s="161"/>
      <c r="X133" s="161"/>
      <c r="Y133" s="161"/>
      <c r="Z133" s="161"/>
      <c r="AA133" s="161"/>
      <c r="AB133" s="161"/>
      <c r="AC133" s="161"/>
      <c r="AD133" s="161"/>
      <c r="AE133" s="162"/>
      <c r="AF133" s="159">
        <v>30</v>
      </c>
      <c r="AG133" s="160"/>
      <c r="AH133" s="160"/>
      <c r="AI133" s="160"/>
      <c r="AJ133" s="160"/>
      <c r="AK133" s="160"/>
      <c r="AL133" s="161">
        <f>$AW$2+2000</f>
        <v>18500</v>
      </c>
      <c r="AM133" s="161"/>
      <c r="AN133" s="161"/>
      <c r="AO133" s="161"/>
      <c r="AP133" s="161"/>
      <c r="AQ133" s="161"/>
      <c r="AR133" s="161"/>
      <c r="AS133" s="161"/>
      <c r="AT133" s="161"/>
      <c r="AU133" s="163"/>
    </row>
    <row r="135" spans="6:47" x14ac:dyDescent="0.15">
      <c r="F135" t="s">
        <v>93</v>
      </c>
    </row>
    <row r="136" spans="6:47" x14ac:dyDescent="0.15">
      <c r="G136" t="s">
        <v>94</v>
      </c>
    </row>
    <row r="141" spans="6:47" ht="14.25" customHeight="1" x14ac:dyDescent="0.15"/>
    <row r="143" spans="6:47" ht="14.25" customHeight="1" x14ac:dyDescent="0.15"/>
    <row r="156" ht="13.5" customHeight="1" x14ac:dyDescent="0.15"/>
    <row r="157" ht="13.5" customHeight="1" x14ac:dyDescent="0.15"/>
  </sheetData>
  <mergeCells count="421">
    <mergeCell ref="S84:AM84"/>
    <mergeCell ref="AN84:BH84"/>
    <mergeCell ref="F74:BH74"/>
    <mergeCell ref="F75:BH75"/>
    <mergeCell ref="AN67:BH67"/>
    <mergeCell ref="AN68:BH68"/>
    <mergeCell ref="AN69:BH69"/>
    <mergeCell ref="S76:AM76"/>
    <mergeCell ref="AN76:BH76"/>
    <mergeCell ref="S77:AM77"/>
    <mergeCell ref="AN77:BH77"/>
    <mergeCell ref="S78:BH78"/>
    <mergeCell ref="S79:AM79"/>
    <mergeCell ref="AN79:BH79"/>
    <mergeCell ref="F84:R84"/>
    <mergeCell ref="S80:AM80"/>
    <mergeCell ref="AN80:BH80"/>
    <mergeCell ref="S81:AM81"/>
    <mergeCell ref="AN81:BH81"/>
    <mergeCell ref="S82:AM82"/>
    <mergeCell ref="AN82:BH82"/>
    <mergeCell ref="S83:AM83"/>
    <mergeCell ref="F82:R82"/>
    <mergeCell ref="F83:R83"/>
    <mergeCell ref="F132:O132"/>
    <mergeCell ref="P132:U132"/>
    <mergeCell ref="V132:AE132"/>
    <mergeCell ref="AF132:AK132"/>
    <mergeCell ref="AL132:AU132"/>
    <mergeCell ref="F133:O133"/>
    <mergeCell ref="P133:U133"/>
    <mergeCell ref="V133:AE133"/>
    <mergeCell ref="AF133:AK133"/>
    <mergeCell ref="AL133:AU133"/>
    <mergeCell ref="F130:O130"/>
    <mergeCell ref="P130:U130"/>
    <mergeCell ref="V130:AE130"/>
    <mergeCell ref="AF130:AK130"/>
    <mergeCell ref="AL130:AU130"/>
    <mergeCell ref="F131:O131"/>
    <mergeCell ref="P131:U131"/>
    <mergeCell ref="V131:AE131"/>
    <mergeCell ref="AF131:AK131"/>
    <mergeCell ref="AL131:AU131"/>
    <mergeCell ref="AO115:AY115"/>
    <mergeCell ref="S116:AC116"/>
    <mergeCell ref="AD116:AN116"/>
    <mergeCell ref="AO116:AY116"/>
    <mergeCell ref="F128:O129"/>
    <mergeCell ref="P128:AU128"/>
    <mergeCell ref="P129:U129"/>
    <mergeCell ref="V129:AE129"/>
    <mergeCell ref="AF129:AK129"/>
    <mergeCell ref="AL129:AU129"/>
    <mergeCell ref="AO123:AY123"/>
    <mergeCell ref="AO120:AY120"/>
    <mergeCell ref="S121:AC121"/>
    <mergeCell ref="AD121:AN121"/>
    <mergeCell ref="AO121:AY121"/>
    <mergeCell ref="S122:AC122"/>
    <mergeCell ref="AD122:AN122"/>
    <mergeCell ref="AO122:AY122"/>
    <mergeCell ref="AO117:AY117"/>
    <mergeCell ref="AO118:AY118"/>
    <mergeCell ref="AO119:AY119"/>
    <mergeCell ref="F118:R118"/>
    <mergeCell ref="S118:AC118"/>
    <mergeCell ref="AD118:AN118"/>
    <mergeCell ref="F117:R117"/>
    <mergeCell ref="S117:AC117"/>
    <mergeCell ref="AD117:AN117"/>
    <mergeCell ref="F116:R116"/>
    <mergeCell ref="F115:R115"/>
    <mergeCell ref="S115:AC115"/>
    <mergeCell ref="AD115:AN115"/>
    <mergeCell ref="F122:R122"/>
    <mergeCell ref="F123:R123"/>
    <mergeCell ref="S123:AC123"/>
    <mergeCell ref="AD123:AN123"/>
    <mergeCell ref="F121:R121"/>
    <mergeCell ref="F120:R120"/>
    <mergeCell ref="S120:AC120"/>
    <mergeCell ref="AD120:AN120"/>
    <mergeCell ref="F119:R119"/>
    <mergeCell ref="S119:AC119"/>
    <mergeCell ref="AD119:AN119"/>
    <mergeCell ref="AO114:AY114"/>
    <mergeCell ref="AD114:AN114"/>
    <mergeCell ref="S114:AC114"/>
    <mergeCell ref="F111:R111"/>
    <mergeCell ref="S111:Z111"/>
    <mergeCell ref="AA111:AH111"/>
    <mergeCell ref="AI111:AP111"/>
    <mergeCell ref="AQ111:AX111"/>
    <mergeCell ref="AY111:BF111"/>
    <mergeCell ref="F114:R114"/>
    <mergeCell ref="F110:R110"/>
    <mergeCell ref="S110:Z110"/>
    <mergeCell ref="AA110:AH110"/>
    <mergeCell ref="AI110:AP110"/>
    <mergeCell ref="AQ110:AX110"/>
    <mergeCell ref="AY110:BF110"/>
    <mergeCell ref="F109:R109"/>
    <mergeCell ref="S109:Z109"/>
    <mergeCell ref="AA109:AH109"/>
    <mergeCell ref="AI109:AP109"/>
    <mergeCell ref="AQ109:AX109"/>
    <mergeCell ref="AY109:BF109"/>
    <mergeCell ref="F108:R108"/>
    <mergeCell ref="S108:Z108"/>
    <mergeCell ref="AA108:AH108"/>
    <mergeCell ref="AI108:AP108"/>
    <mergeCell ref="AQ108:AX108"/>
    <mergeCell ref="AY108:BF108"/>
    <mergeCell ref="F107:R107"/>
    <mergeCell ref="S107:Z107"/>
    <mergeCell ref="AA107:AH107"/>
    <mergeCell ref="AI107:AP107"/>
    <mergeCell ref="AQ107:AX107"/>
    <mergeCell ref="AY107:BF107"/>
    <mergeCell ref="F106:R106"/>
    <mergeCell ref="S106:Z106"/>
    <mergeCell ref="AA106:AH106"/>
    <mergeCell ref="AI106:AP106"/>
    <mergeCell ref="AQ106:AX106"/>
    <mergeCell ref="AY106:BF106"/>
    <mergeCell ref="F105:R105"/>
    <mergeCell ref="S105:Z105"/>
    <mergeCell ref="AA105:AH105"/>
    <mergeCell ref="AI105:AP105"/>
    <mergeCell ref="AQ105:AX105"/>
    <mergeCell ref="AY105:BF105"/>
    <mergeCell ref="F104:R104"/>
    <mergeCell ref="S104:Z104"/>
    <mergeCell ref="AA104:AH104"/>
    <mergeCell ref="AI104:AP104"/>
    <mergeCell ref="AQ104:AX104"/>
    <mergeCell ref="AY104:BF104"/>
    <mergeCell ref="F103:R103"/>
    <mergeCell ref="S103:Z103"/>
    <mergeCell ref="AA103:AH103"/>
    <mergeCell ref="AI103:AP103"/>
    <mergeCell ref="AQ103:AX103"/>
    <mergeCell ref="AY103:BF103"/>
    <mergeCell ref="F101:BF101"/>
    <mergeCell ref="F102:R102"/>
    <mergeCell ref="S102:Z102"/>
    <mergeCell ref="AA102:AH102"/>
    <mergeCell ref="AI102:AP102"/>
    <mergeCell ref="AQ102:AX102"/>
    <mergeCell ref="AY102:BF102"/>
    <mergeCell ref="F100:BF100"/>
    <mergeCell ref="F98:R98"/>
    <mergeCell ref="S98:Z98"/>
    <mergeCell ref="AA98:AH98"/>
    <mergeCell ref="AI98:AP98"/>
    <mergeCell ref="AQ98:AX98"/>
    <mergeCell ref="AY98:BF98"/>
    <mergeCell ref="F97:R97"/>
    <mergeCell ref="S97:Z97"/>
    <mergeCell ref="AA97:AH97"/>
    <mergeCell ref="AI97:AP97"/>
    <mergeCell ref="AQ97:AX97"/>
    <mergeCell ref="AY97:BF97"/>
    <mergeCell ref="F96:R96"/>
    <mergeCell ref="S96:Z96"/>
    <mergeCell ref="AA96:AH96"/>
    <mergeCell ref="AI96:AP96"/>
    <mergeCell ref="AQ96:AX96"/>
    <mergeCell ref="AY96:BF96"/>
    <mergeCell ref="F95:R95"/>
    <mergeCell ref="S95:Z95"/>
    <mergeCell ref="AA95:AH95"/>
    <mergeCell ref="AI95:AP95"/>
    <mergeCell ref="AQ95:AX95"/>
    <mergeCell ref="AY95:BF95"/>
    <mergeCell ref="F94:R94"/>
    <mergeCell ref="S94:Z94"/>
    <mergeCell ref="AA94:AH94"/>
    <mergeCell ref="AI94:AP94"/>
    <mergeCell ref="AQ94:AX94"/>
    <mergeCell ref="AY94:BF94"/>
    <mergeCell ref="AY92:BF92"/>
    <mergeCell ref="F93:R93"/>
    <mergeCell ref="S93:Z93"/>
    <mergeCell ref="AA93:AH93"/>
    <mergeCell ref="AI93:AP93"/>
    <mergeCell ref="AQ93:AX93"/>
    <mergeCell ref="AY93:BF93"/>
    <mergeCell ref="S91:Z91"/>
    <mergeCell ref="AA91:AH91"/>
    <mergeCell ref="AI91:AP91"/>
    <mergeCell ref="AQ91:AX91"/>
    <mergeCell ref="AY91:BF91"/>
    <mergeCell ref="F92:R92"/>
    <mergeCell ref="S92:Z92"/>
    <mergeCell ref="AA92:AH92"/>
    <mergeCell ref="AI92:AP92"/>
    <mergeCell ref="AQ92:AX92"/>
    <mergeCell ref="F91:R91"/>
    <mergeCell ref="F88:BF88"/>
    <mergeCell ref="F90:R90"/>
    <mergeCell ref="S90:Z90"/>
    <mergeCell ref="AA90:AH90"/>
    <mergeCell ref="F87:BF87"/>
    <mergeCell ref="F89:R89"/>
    <mergeCell ref="S89:Z89"/>
    <mergeCell ref="AA89:AH89"/>
    <mergeCell ref="AI89:AP89"/>
    <mergeCell ref="AQ89:AX89"/>
    <mergeCell ref="AY89:BF89"/>
    <mergeCell ref="AI90:AP90"/>
    <mergeCell ref="AQ90:AX90"/>
    <mergeCell ref="AY90:BF90"/>
    <mergeCell ref="F80:R80"/>
    <mergeCell ref="F81:R81"/>
    <mergeCell ref="F78:L78"/>
    <mergeCell ref="F79:R79"/>
    <mergeCell ref="AN83:BH83"/>
    <mergeCell ref="F69:R69"/>
    <mergeCell ref="F67:R67"/>
    <mergeCell ref="F68:R68"/>
    <mergeCell ref="F76:R76"/>
    <mergeCell ref="S67:AM67"/>
    <mergeCell ref="S68:AM68"/>
    <mergeCell ref="S69:AM69"/>
    <mergeCell ref="F77:J77"/>
    <mergeCell ref="K77:R77"/>
    <mergeCell ref="M78:R78"/>
    <mergeCell ref="F65:R65"/>
    <mergeCell ref="F66:R66"/>
    <mergeCell ref="S65:AM65"/>
    <mergeCell ref="S66:AM66"/>
    <mergeCell ref="AN65:BH65"/>
    <mergeCell ref="AN66:BH66"/>
    <mergeCell ref="S63:BH63"/>
    <mergeCell ref="F64:R64"/>
    <mergeCell ref="F63:L63"/>
    <mergeCell ref="M63:R63"/>
    <mergeCell ref="S62:AM62"/>
    <mergeCell ref="S64:AM64"/>
    <mergeCell ref="AN62:BH62"/>
    <mergeCell ref="AN64:BH64"/>
    <mergeCell ref="F61:R61"/>
    <mergeCell ref="F59:BH59"/>
    <mergeCell ref="F60:BH60"/>
    <mergeCell ref="K62:R62"/>
    <mergeCell ref="F62:J62"/>
    <mergeCell ref="S61:AM61"/>
    <mergeCell ref="AN61:BH61"/>
    <mergeCell ref="AP55:AX55"/>
    <mergeCell ref="AY55:BG55"/>
    <mergeCell ref="AP56:AX56"/>
    <mergeCell ref="AY56:BG56"/>
    <mergeCell ref="E58:AF58"/>
    <mergeCell ref="AP51:AX51"/>
    <mergeCell ref="AY51:BG51"/>
    <mergeCell ref="AP52:AX52"/>
    <mergeCell ref="AY52:BG52"/>
    <mergeCell ref="AP53:AX53"/>
    <mergeCell ref="AY53:BG53"/>
    <mergeCell ref="AP54:AX54"/>
    <mergeCell ref="AY54:BG54"/>
    <mergeCell ref="O55:W55"/>
    <mergeCell ref="X55:AF55"/>
    <mergeCell ref="O56:W56"/>
    <mergeCell ref="X56:AF56"/>
    <mergeCell ref="O51:W51"/>
    <mergeCell ref="X51:AF51"/>
    <mergeCell ref="O52:W52"/>
    <mergeCell ref="X52:AF52"/>
    <mergeCell ref="O53:W53"/>
    <mergeCell ref="X53:AF53"/>
    <mergeCell ref="F56:N56"/>
    <mergeCell ref="AG56:AO56"/>
    <mergeCell ref="F54:N54"/>
    <mergeCell ref="AG54:AO54"/>
    <mergeCell ref="F55:N55"/>
    <mergeCell ref="AG55:AO55"/>
    <mergeCell ref="O54:W54"/>
    <mergeCell ref="X54:AF54"/>
    <mergeCell ref="F52:N52"/>
    <mergeCell ref="AG52:AO52"/>
    <mergeCell ref="F53:N53"/>
    <mergeCell ref="AG53:AO53"/>
    <mergeCell ref="F50:AF50"/>
    <mergeCell ref="AG50:BG50"/>
    <mergeCell ref="F51:N51"/>
    <mergeCell ref="AG51:AO51"/>
    <mergeCell ref="F45:N45"/>
    <mergeCell ref="O45:AF45"/>
    <mergeCell ref="AG45:AO45"/>
    <mergeCell ref="AP45:BG45"/>
    <mergeCell ref="E47:AI47"/>
    <mergeCell ref="F49:AF49"/>
    <mergeCell ref="AG49:BG49"/>
    <mergeCell ref="F43:N43"/>
    <mergeCell ref="O43:AF43"/>
    <mergeCell ref="AG43:AO43"/>
    <mergeCell ref="AP43:BG43"/>
    <mergeCell ref="F44:N44"/>
    <mergeCell ref="O44:AF44"/>
    <mergeCell ref="AG44:AO44"/>
    <mergeCell ref="AP44:BG44"/>
    <mergeCell ref="F41:N41"/>
    <mergeCell ref="O41:AF41"/>
    <mergeCell ref="AG41:AO41"/>
    <mergeCell ref="AP41:BG41"/>
    <mergeCell ref="F42:N42"/>
    <mergeCell ref="O42:AF42"/>
    <mergeCell ref="AG42:AO42"/>
    <mergeCell ref="AP42:BG42"/>
    <mergeCell ref="AG39:AO39"/>
    <mergeCell ref="AP39:BG39"/>
    <mergeCell ref="F40:N40"/>
    <mergeCell ref="O40:AF40"/>
    <mergeCell ref="AG40:AO40"/>
    <mergeCell ref="AP40:BG40"/>
    <mergeCell ref="O35:AF36"/>
    <mergeCell ref="AP35:BG36"/>
    <mergeCell ref="F38:N38"/>
    <mergeCell ref="O38:AF38"/>
    <mergeCell ref="AG38:AO38"/>
    <mergeCell ref="AP38:BG38"/>
    <mergeCell ref="F37:N37"/>
    <mergeCell ref="O37:AF37"/>
    <mergeCell ref="AG37:AO37"/>
    <mergeCell ref="AP37:BG37"/>
    <mergeCell ref="F35:N35"/>
    <mergeCell ref="F36:N36"/>
    <mergeCell ref="AG35:AO35"/>
    <mergeCell ref="AG36:AO36"/>
    <mergeCell ref="F39:N39"/>
    <mergeCell ref="O39:AF39"/>
    <mergeCell ref="AG29:AO29"/>
    <mergeCell ref="AP29:BG29"/>
    <mergeCell ref="E32:AI32"/>
    <mergeCell ref="F33:AF33"/>
    <mergeCell ref="AG33:BG33"/>
    <mergeCell ref="F34:AF34"/>
    <mergeCell ref="AG34:BG34"/>
    <mergeCell ref="F28:N28"/>
    <mergeCell ref="O28:AF28"/>
    <mergeCell ref="AG28:AO28"/>
    <mergeCell ref="AP28:BG28"/>
    <mergeCell ref="F30:N30"/>
    <mergeCell ref="O30:AF30"/>
    <mergeCell ref="AG30:AO30"/>
    <mergeCell ref="AP30:BG30"/>
    <mergeCell ref="F29:N29"/>
    <mergeCell ref="O29:AF29"/>
    <mergeCell ref="AG26:AO26"/>
    <mergeCell ref="AP26:BG26"/>
    <mergeCell ref="F27:N27"/>
    <mergeCell ref="O27:AF27"/>
    <mergeCell ref="AG27:AO27"/>
    <mergeCell ref="AP27:BG27"/>
    <mergeCell ref="F24:N24"/>
    <mergeCell ref="O24:AF24"/>
    <mergeCell ref="AG24:AO24"/>
    <mergeCell ref="AP24:BG24"/>
    <mergeCell ref="F25:N25"/>
    <mergeCell ref="O25:AF25"/>
    <mergeCell ref="AG25:AO25"/>
    <mergeCell ref="AP25:BG25"/>
    <mergeCell ref="F26:N26"/>
    <mergeCell ref="O26:AF26"/>
    <mergeCell ref="AP21:BG22"/>
    <mergeCell ref="F23:N23"/>
    <mergeCell ref="O23:AF23"/>
    <mergeCell ref="AG23:AO23"/>
    <mergeCell ref="AP23:BG23"/>
    <mergeCell ref="AG15:AO15"/>
    <mergeCell ref="E17:AK17"/>
    <mergeCell ref="F19:AF19"/>
    <mergeCell ref="AG19:BG19"/>
    <mergeCell ref="F20:AF20"/>
    <mergeCell ref="AG20:BG20"/>
    <mergeCell ref="F21:N21"/>
    <mergeCell ref="F22:N22"/>
    <mergeCell ref="AG21:AO21"/>
    <mergeCell ref="AG22:AO22"/>
    <mergeCell ref="O15:AF15"/>
    <mergeCell ref="F15:N15"/>
    <mergeCell ref="O21:AF22"/>
    <mergeCell ref="AG13:AO13"/>
    <mergeCell ref="AG14:AO14"/>
    <mergeCell ref="AP12:BG12"/>
    <mergeCell ref="AP13:BG13"/>
    <mergeCell ref="AP14:BG14"/>
    <mergeCell ref="AP15:BG15"/>
    <mergeCell ref="AG6:BG6"/>
    <mergeCell ref="AG7:BG7"/>
    <mergeCell ref="AG10:AO10"/>
    <mergeCell ref="AG11:AO11"/>
    <mergeCell ref="AW2:BJ2"/>
    <mergeCell ref="AI2:AV2"/>
    <mergeCell ref="BK2:BL2"/>
    <mergeCell ref="AP8:BG9"/>
    <mergeCell ref="AP10:BG10"/>
    <mergeCell ref="AP11:BG11"/>
    <mergeCell ref="O10:AF10"/>
    <mergeCell ref="O11:AF11"/>
    <mergeCell ref="O12:AF12"/>
    <mergeCell ref="AG8:AO8"/>
    <mergeCell ref="AG9:AO9"/>
    <mergeCell ref="AG12:AO12"/>
    <mergeCell ref="A2:K2"/>
    <mergeCell ref="D4:AF4"/>
    <mergeCell ref="O8:AF9"/>
    <mergeCell ref="F7:AF7"/>
    <mergeCell ref="F6:AF6"/>
    <mergeCell ref="F9:N9"/>
    <mergeCell ref="F8:N8"/>
    <mergeCell ref="O13:AF13"/>
    <mergeCell ref="O14:AF14"/>
    <mergeCell ref="F10:N10"/>
    <mergeCell ref="F11:N11"/>
    <mergeCell ref="F12:N12"/>
    <mergeCell ref="F13:N13"/>
    <mergeCell ref="F14:N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162"/>
  <sheetViews>
    <sheetView workbookViewId="0">
      <selection activeCell="AY3" sqref="AY3:BL3"/>
    </sheetView>
  </sheetViews>
  <sheetFormatPr defaultColWidth="1.375" defaultRowHeight="13.5" x14ac:dyDescent="0.15"/>
  <sheetData>
    <row r="1" spans="1:66" ht="14.25" thickBot="1" x14ac:dyDescent="0.2"/>
    <row r="2" spans="1:66" ht="18.75" thickTop="1" thickBot="1" x14ac:dyDescent="0.25">
      <c r="A2" s="1"/>
      <c r="B2" s="2" t="s">
        <v>0</v>
      </c>
      <c r="C2" s="11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  <c r="AH2" s="174" t="s">
        <v>92</v>
      </c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75"/>
      <c r="AY2" s="28">
        <f>AY3+4000</f>
        <v>20500</v>
      </c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30"/>
      <c r="BM2" s="33" t="s">
        <v>12</v>
      </c>
      <c r="BN2" s="11"/>
    </row>
    <row r="3" spans="1:66" ht="18" thickTop="1" x14ac:dyDescent="0.2">
      <c r="A3" s="1"/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AL3" s="11" t="s">
        <v>91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72">
        <v>16500</v>
      </c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 t="s">
        <v>12</v>
      </c>
      <c r="BN3" s="11"/>
    </row>
    <row r="4" spans="1:66" x14ac:dyDescent="0.15">
      <c r="A4" s="1"/>
      <c r="B4" s="1"/>
      <c r="F4" s="11" t="s">
        <v>62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6" x14ac:dyDescent="0.15">
      <c r="A5" s="1"/>
      <c r="B5" s="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66" x14ac:dyDescent="0.15">
      <c r="A6" s="1"/>
      <c r="B6" s="1"/>
      <c r="H6" s="14" t="s">
        <v>9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4" t="s">
        <v>13</v>
      </c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8"/>
    </row>
    <row r="7" spans="1:66" x14ac:dyDescent="0.15">
      <c r="A7" s="1"/>
      <c r="B7" s="1"/>
      <c r="H7" s="14" t="s">
        <v>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4" t="s">
        <v>14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38"/>
    </row>
    <row r="8" spans="1:66" x14ac:dyDescent="0.15">
      <c r="A8" s="1"/>
      <c r="B8" s="1"/>
      <c r="H8" s="19" t="s">
        <v>7</v>
      </c>
      <c r="I8" s="20"/>
      <c r="J8" s="20"/>
      <c r="K8" s="20"/>
      <c r="L8" s="20"/>
      <c r="M8" s="20"/>
      <c r="N8" s="20"/>
      <c r="O8" s="20"/>
      <c r="P8" s="21"/>
      <c r="Q8" s="12" t="s">
        <v>10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9" t="s">
        <v>7</v>
      </c>
      <c r="AJ8" s="20"/>
      <c r="AK8" s="20"/>
      <c r="AL8" s="20"/>
      <c r="AM8" s="20"/>
      <c r="AN8" s="20"/>
      <c r="AO8" s="20"/>
      <c r="AP8" s="20"/>
      <c r="AQ8" s="21"/>
      <c r="AR8" s="12" t="s">
        <v>10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34"/>
    </row>
    <row r="9" spans="1:66" x14ac:dyDescent="0.15">
      <c r="A9" s="1"/>
      <c r="B9" s="1"/>
      <c r="H9" s="16" t="s">
        <v>8</v>
      </c>
      <c r="I9" s="17"/>
      <c r="J9" s="17"/>
      <c r="K9" s="17"/>
      <c r="L9" s="17"/>
      <c r="M9" s="17"/>
      <c r="N9" s="17"/>
      <c r="O9" s="17"/>
      <c r="P9" s="18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6" t="s">
        <v>8</v>
      </c>
      <c r="AJ9" s="17"/>
      <c r="AK9" s="17"/>
      <c r="AL9" s="17"/>
      <c r="AM9" s="17"/>
      <c r="AN9" s="17"/>
      <c r="AO9" s="17"/>
      <c r="AP9" s="17"/>
      <c r="AQ9" s="18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35"/>
    </row>
    <row r="10" spans="1:66" x14ac:dyDescent="0.15">
      <c r="A10" s="1"/>
      <c r="B10" s="1"/>
      <c r="H10" s="23">
        <v>18</v>
      </c>
      <c r="I10" s="24"/>
      <c r="J10" s="24"/>
      <c r="K10" s="24"/>
      <c r="L10" s="24"/>
      <c r="M10" s="24"/>
      <c r="N10" s="24"/>
      <c r="O10" s="24"/>
      <c r="P10" s="25"/>
      <c r="Q10" s="24">
        <f>$AY$2</f>
        <v>20500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3">
        <v>18</v>
      </c>
      <c r="AJ10" s="24"/>
      <c r="AK10" s="24"/>
      <c r="AL10" s="24"/>
      <c r="AM10" s="24"/>
      <c r="AN10" s="24"/>
      <c r="AO10" s="24"/>
      <c r="AP10" s="24"/>
      <c r="AQ10" s="25"/>
      <c r="AR10" s="24">
        <f>$AY$2+1000</f>
        <v>21500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5"/>
    </row>
    <row r="11" spans="1:66" x14ac:dyDescent="0.15">
      <c r="A11" s="1"/>
      <c r="B11" s="1"/>
      <c r="H11" s="26">
        <v>21</v>
      </c>
      <c r="I11" s="22"/>
      <c r="J11" s="22"/>
      <c r="K11" s="22"/>
      <c r="L11" s="22"/>
      <c r="M11" s="22"/>
      <c r="N11" s="22"/>
      <c r="O11" s="22"/>
      <c r="P11" s="27"/>
      <c r="Q11" s="22">
        <f>$AY$2+300</f>
        <v>20800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6">
        <v>21</v>
      </c>
      <c r="AJ11" s="22"/>
      <c r="AK11" s="22"/>
      <c r="AL11" s="22"/>
      <c r="AM11" s="22"/>
      <c r="AN11" s="22"/>
      <c r="AO11" s="22"/>
      <c r="AP11" s="22"/>
      <c r="AQ11" s="27"/>
      <c r="AR11" s="22">
        <f>$AY$2+1400</f>
        <v>21900</v>
      </c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7"/>
    </row>
    <row r="12" spans="1:66" x14ac:dyDescent="0.15">
      <c r="A12" s="1"/>
      <c r="B12" s="1"/>
      <c r="H12" s="26">
        <v>24</v>
      </c>
      <c r="I12" s="22"/>
      <c r="J12" s="22"/>
      <c r="K12" s="22"/>
      <c r="L12" s="22"/>
      <c r="M12" s="22"/>
      <c r="N12" s="22"/>
      <c r="O12" s="22"/>
      <c r="P12" s="27"/>
      <c r="Q12" s="22">
        <f>$AY$2+600</f>
        <v>21100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6">
        <v>24</v>
      </c>
      <c r="AJ12" s="22"/>
      <c r="AK12" s="22"/>
      <c r="AL12" s="22"/>
      <c r="AM12" s="22"/>
      <c r="AN12" s="22"/>
      <c r="AO12" s="22"/>
      <c r="AP12" s="22"/>
      <c r="AQ12" s="27"/>
      <c r="AR12" s="22">
        <f>$AY$2+1900</f>
        <v>22400</v>
      </c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7"/>
    </row>
    <row r="13" spans="1:66" x14ac:dyDescent="0.15">
      <c r="A13" s="1"/>
      <c r="B13" s="1"/>
      <c r="H13" s="26">
        <v>27</v>
      </c>
      <c r="I13" s="22"/>
      <c r="J13" s="22"/>
      <c r="K13" s="22"/>
      <c r="L13" s="22"/>
      <c r="M13" s="22"/>
      <c r="N13" s="22"/>
      <c r="O13" s="22"/>
      <c r="P13" s="27"/>
      <c r="Q13" s="22">
        <f>$AY$2+900</f>
        <v>21400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6">
        <v>27</v>
      </c>
      <c r="AJ13" s="22"/>
      <c r="AK13" s="22"/>
      <c r="AL13" s="22"/>
      <c r="AM13" s="22"/>
      <c r="AN13" s="22"/>
      <c r="AO13" s="22"/>
      <c r="AP13" s="22"/>
      <c r="AQ13" s="27"/>
      <c r="AR13" s="22">
        <f>$AY$2+2250</f>
        <v>22750</v>
      </c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7"/>
    </row>
    <row r="14" spans="1:66" x14ac:dyDescent="0.15">
      <c r="A14" s="1"/>
      <c r="B14" s="1"/>
      <c r="H14" s="26">
        <v>30</v>
      </c>
      <c r="I14" s="22"/>
      <c r="J14" s="22"/>
      <c r="K14" s="22"/>
      <c r="L14" s="22"/>
      <c r="M14" s="22"/>
      <c r="N14" s="22"/>
      <c r="O14" s="22"/>
      <c r="P14" s="27"/>
      <c r="Q14" s="22">
        <f>$AY$2+1200</f>
        <v>21700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6">
        <v>30</v>
      </c>
      <c r="AJ14" s="22"/>
      <c r="AK14" s="22"/>
      <c r="AL14" s="22"/>
      <c r="AM14" s="22"/>
      <c r="AN14" s="22"/>
      <c r="AO14" s="22"/>
      <c r="AP14" s="22"/>
      <c r="AQ14" s="27"/>
      <c r="AR14" s="22">
        <f>$AY$2+2700</f>
        <v>23200</v>
      </c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7"/>
    </row>
    <row r="15" spans="1:66" x14ac:dyDescent="0.15">
      <c r="A15" s="1"/>
      <c r="B15" s="1"/>
      <c r="H15" s="41">
        <v>33</v>
      </c>
      <c r="I15" s="36"/>
      <c r="J15" s="36"/>
      <c r="K15" s="36"/>
      <c r="L15" s="36"/>
      <c r="M15" s="36"/>
      <c r="N15" s="36"/>
      <c r="O15" s="36"/>
      <c r="P15" s="37"/>
      <c r="Q15" s="36">
        <f>$AY$2+1650</f>
        <v>22150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41">
        <v>33</v>
      </c>
      <c r="AJ15" s="36"/>
      <c r="AK15" s="36"/>
      <c r="AL15" s="36"/>
      <c r="AM15" s="36"/>
      <c r="AN15" s="36"/>
      <c r="AO15" s="36"/>
      <c r="AP15" s="36"/>
      <c r="AQ15" s="37"/>
      <c r="AR15" s="36">
        <f>$AY$2+3150</f>
        <v>23650</v>
      </c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7"/>
    </row>
    <row r="16" spans="1:66" x14ac:dyDescent="0.15">
      <c r="A16" s="1"/>
      <c r="B16" s="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x14ac:dyDescent="0.15">
      <c r="A17" s="1"/>
      <c r="B17" s="1"/>
      <c r="G17" s="11" t="s">
        <v>15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61" x14ac:dyDescent="0.15">
      <c r="A18" s="1"/>
      <c r="B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61" x14ac:dyDescent="0.15">
      <c r="A19" s="1"/>
      <c r="B19" s="1"/>
      <c r="H19" s="39" t="s">
        <v>9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 t="s">
        <v>13</v>
      </c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</row>
    <row r="20" spans="1:61" x14ac:dyDescent="0.15">
      <c r="A20" s="1"/>
      <c r="B20" s="1"/>
      <c r="H20" s="39" t="s">
        <v>6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 t="s">
        <v>14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</row>
    <row r="21" spans="1:61" x14ac:dyDescent="0.15">
      <c r="A21" s="1"/>
      <c r="B21" s="1"/>
      <c r="H21" s="42" t="s">
        <v>7</v>
      </c>
      <c r="I21" s="43"/>
      <c r="J21" s="43"/>
      <c r="K21" s="43"/>
      <c r="L21" s="43"/>
      <c r="M21" s="43"/>
      <c r="N21" s="43"/>
      <c r="O21" s="43"/>
      <c r="P21" s="43"/>
      <c r="Q21" s="39" t="s">
        <v>60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 t="s">
        <v>7</v>
      </c>
      <c r="AJ21" s="43"/>
      <c r="AK21" s="43"/>
      <c r="AL21" s="43"/>
      <c r="AM21" s="43"/>
      <c r="AN21" s="43"/>
      <c r="AO21" s="43"/>
      <c r="AP21" s="43"/>
      <c r="AQ21" s="43"/>
      <c r="AR21" s="39" t="s">
        <v>60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</row>
    <row r="22" spans="1:61" x14ac:dyDescent="0.15">
      <c r="A22" s="1"/>
      <c r="B22" s="1"/>
      <c r="H22" s="44" t="s">
        <v>8</v>
      </c>
      <c r="I22" s="44"/>
      <c r="J22" s="44"/>
      <c r="K22" s="44"/>
      <c r="L22" s="44"/>
      <c r="M22" s="44"/>
      <c r="N22" s="44"/>
      <c r="O22" s="44"/>
      <c r="P22" s="44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4" t="s">
        <v>8</v>
      </c>
      <c r="AJ22" s="44"/>
      <c r="AK22" s="44"/>
      <c r="AL22" s="44"/>
      <c r="AM22" s="44"/>
      <c r="AN22" s="44"/>
      <c r="AO22" s="44"/>
      <c r="AP22" s="44"/>
      <c r="AQ22" s="44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</row>
    <row r="23" spans="1:61" x14ac:dyDescent="0.15">
      <c r="A23" s="1"/>
      <c r="B23" s="1"/>
      <c r="H23" s="40">
        <v>27</v>
      </c>
      <c r="I23" s="40"/>
      <c r="J23" s="40"/>
      <c r="K23" s="40"/>
      <c r="L23" s="40"/>
      <c r="M23" s="40"/>
      <c r="N23" s="40"/>
      <c r="O23" s="40"/>
      <c r="P23" s="40"/>
      <c r="Q23" s="40">
        <f>$AY$2+1700</f>
        <v>22200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>
        <v>27</v>
      </c>
      <c r="AJ23" s="40"/>
      <c r="AK23" s="40"/>
      <c r="AL23" s="40"/>
      <c r="AM23" s="40"/>
      <c r="AN23" s="40"/>
      <c r="AO23" s="40"/>
      <c r="AP23" s="40"/>
      <c r="AQ23" s="40"/>
      <c r="AR23" s="40">
        <f>$AY$2+3200</f>
        <v>23700</v>
      </c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</row>
    <row r="24" spans="1:61" x14ac:dyDescent="0.15">
      <c r="A24" s="1"/>
      <c r="B24" s="1"/>
      <c r="H24" s="45">
        <v>30</v>
      </c>
      <c r="I24" s="45"/>
      <c r="J24" s="45"/>
      <c r="K24" s="45"/>
      <c r="L24" s="45"/>
      <c r="M24" s="45"/>
      <c r="N24" s="45"/>
      <c r="O24" s="45"/>
      <c r="P24" s="45"/>
      <c r="Q24" s="45">
        <f>$AY$2+2000</f>
        <v>22500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30</v>
      </c>
      <c r="AJ24" s="45"/>
      <c r="AK24" s="45"/>
      <c r="AL24" s="45"/>
      <c r="AM24" s="45"/>
      <c r="AN24" s="45"/>
      <c r="AO24" s="45"/>
      <c r="AP24" s="45"/>
      <c r="AQ24" s="45"/>
      <c r="AR24" s="45">
        <f>$AY$2+3500</f>
        <v>24000</v>
      </c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</row>
    <row r="25" spans="1:61" x14ac:dyDescent="0.15">
      <c r="A25" s="1"/>
      <c r="B25" s="1"/>
      <c r="H25" s="45">
        <v>33</v>
      </c>
      <c r="I25" s="45"/>
      <c r="J25" s="45"/>
      <c r="K25" s="45"/>
      <c r="L25" s="45"/>
      <c r="M25" s="45"/>
      <c r="N25" s="45"/>
      <c r="O25" s="45"/>
      <c r="P25" s="45"/>
      <c r="Q25" s="45">
        <f>$AY$2+2650</f>
        <v>23150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>
        <v>33</v>
      </c>
      <c r="AJ25" s="45"/>
      <c r="AK25" s="45"/>
      <c r="AL25" s="45"/>
      <c r="AM25" s="45"/>
      <c r="AN25" s="45"/>
      <c r="AO25" s="45"/>
      <c r="AP25" s="45"/>
      <c r="AQ25" s="45"/>
      <c r="AR25" s="45">
        <f>$AY$2+4150</f>
        <v>24650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</row>
    <row r="26" spans="1:61" x14ac:dyDescent="0.15">
      <c r="A26" s="1"/>
      <c r="B26" s="1"/>
      <c r="H26" s="45">
        <v>36</v>
      </c>
      <c r="I26" s="45"/>
      <c r="J26" s="45"/>
      <c r="K26" s="45"/>
      <c r="L26" s="45"/>
      <c r="M26" s="45"/>
      <c r="N26" s="45"/>
      <c r="O26" s="45"/>
      <c r="P26" s="45"/>
      <c r="Q26" s="45">
        <f>$AY$2+3300</f>
        <v>23800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>
        <v>36</v>
      </c>
      <c r="AJ26" s="45"/>
      <c r="AK26" s="45"/>
      <c r="AL26" s="45"/>
      <c r="AM26" s="45"/>
      <c r="AN26" s="45"/>
      <c r="AO26" s="45"/>
      <c r="AP26" s="45"/>
      <c r="AQ26" s="45"/>
      <c r="AR26" s="45">
        <f>$AY$2+4800</f>
        <v>25300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</row>
    <row r="27" spans="1:61" x14ac:dyDescent="0.15">
      <c r="A27" s="1"/>
      <c r="B27" s="1"/>
      <c r="H27" s="45">
        <v>39</v>
      </c>
      <c r="I27" s="45"/>
      <c r="J27" s="45"/>
      <c r="K27" s="45"/>
      <c r="L27" s="45"/>
      <c r="M27" s="45"/>
      <c r="N27" s="45"/>
      <c r="O27" s="45"/>
      <c r="P27" s="45"/>
      <c r="Q27" s="45">
        <f>$AY$2+3800</f>
        <v>24300</v>
      </c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>
        <v>39</v>
      </c>
      <c r="AJ27" s="45"/>
      <c r="AK27" s="45"/>
      <c r="AL27" s="45"/>
      <c r="AM27" s="45"/>
      <c r="AN27" s="45"/>
      <c r="AO27" s="45"/>
      <c r="AP27" s="45"/>
      <c r="AQ27" s="45"/>
      <c r="AR27" s="45">
        <f>$AY$2+5300</f>
        <v>25800</v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</row>
    <row r="28" spans="1:61" x14ac:dyDescent="0.15">
      <c r="A28" s="1"/>
      <c r="B28" s="1"/>
      <c r="H28" s="45">
        <v>40</v>
      </c>
      <c r="I28" s="45"/>
      <c r="J28" s="45"/>
      <c r="K28" s="45"/>
      <c r="L28" s="45"/>
      <c r="M28" s="45"/>
      <c r="N28" s="45"/>
      <c r="O28" s="45"/>
      <c r="P28" s="45"/>
      <c r="Q28" s="45">
        <f>$AY$2+4000</f>
        <v>24500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>
        <v>40</v>
      </c>
      <c r="AJ28" s="45"/>
      <c r="AK28" s="45"/>
      <c r="AL28" s="45"/>
      <c r="AM28" s="45"/>
      <c r="AN28" s="45"/>
      <c r="AO28" s="45"/>
      <c r="AP28" s="45"/>
      <c r="AQ28" s="45"/>
      <c r="AR28" s="45">
        <f>$AY$2+5500</f>
        <v>26000</v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</row>
    <row r="29" spans="1:61" x14ac:dyDescent="0.15">
      <c r="A29" s="1"/>
      <c r="B29" s="1"/>
      <c r="H29" s="45">
        <v>42</v>
      </c>
      <c r="I29" s="45"/>
      <c r="J29" s="45"/>
      <c r="K29" s="45"/>
      <c r="L29" s="45"/>
      <c r="M29" s="45"/>
      <c r="N29" s="45"/>
      <c r="O29" s="45"/>
      <c r="P29" s="45"/>
      <c r="Q29" s="45">
        <f>$AY$2+4600</f>
        <v>25100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>
        <v>42</v>
      </c>
      <c r="AJ29" s="45"/>
      <c r="AK29" s="45"/>
      <c r="AL29" s="45"/>
      <c r="AM29" s="45"/>
      <c r="AN29" s="45"/>
      <c r="AO29" s="45"/>
      <c r="AP29" s="45"/>
      <c r="AQ29" s="45"/>
      <c r="AR29" s="45">
        <f>$AY$2+6100</f>
        <v>26600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</row>
    <row r="30" spans="1:61" x14ac:dyDescent="0.15">
      <c r="A30" s="1"/>
      <c r="B30" s="1"/>
      <c r="H30" s="46">
        <v>45</v>
      </c>
      <c r="I30" s="46"/>
      <c r="J30" s="46"/>
      <c r="K30" s="46"/>
      <c r="L30" s="46"/>
      <c r="M30" s="46"/>
      <c r="N30" s="46"/>
      <c r="O30" s="46"/>
      <c r="P30" s="46"/>
      <c r="Q30" s="46">
        <f>$AY$2+5200</f>
        <v>25700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>
        <v>45</v>
      </c>
      <c r="AJ30" s="46"/>
      <c r="AK30" s="46"/>
      <c r="AL30" s="46"/>
      <c r="AM30" s="46"/>
      <c r="AN30" s="46"/>
      <c r="AO30" s="46"/>
      <c r="AP30" s="46"/>
      <c r="AQ30" s="46"/>
      <c r="AR30" s="46">
        <f>$AY$2+6700</f>
        <v>27200</v>
      </c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</row>
    <row r="31" spans="1:61" x14ac:dyDescent="0.15">
      <c r="A31" s="1"/>
      <c r="B31" s="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x14ac:dyDescent="0.15">
      <c r="A32" s="1"/>
      <c r="B32" s="1"/>
      <c r="G32" s="11" t="s">
        <v>61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61" x14ac:dyDescent="0.15">
      <c r="A33" s="1"/>
      <c r="B33" s="1"/>
      <c r="H33" s="39" t="s">
        <v>16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 t="s">
        <v>17</v>
      </c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</row>
    <row r="34" spans="1:61" x14ac:dyDescent="0.15">
      <c r="A34" s="1"/>
      <c r="B34" s="1"/>
      <c r="H34" s="39" t="s">
        <v>6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 t="s">
        <v>6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</row>
    <row r="35" spans="1:61" x14ac:dyDescent="0.15">
      <c r="A35" s="1"/>
      <c r="B35" s="1"/>
      <c r="H35" s="42" t="s">
        <v>7</v>
      </c>
      <c r="I35" s="43"/>
      <c r="J35" s="43"/>
      <c r="K35" s="43"/>
      <c r="L35" s="43"/>
      <c r="M35" s="43"/>
      <c r="N35" s="43"/>
      <c r="O35" s="43"/>
      <c r="P35" s="43"/>
      <c r="Q35" s="39" t="s">
        <v>10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 t="s">
        <v>7</v>
      </c>
      <c r="AJ35" s="43"/>
      <c r="AK35" s="43"/>
      <c r="AL35" s="43"/>
      <c r="AM35" s="43"/>
      <c r="AN35" s="43"/>
      <c r="AO35" s="43"/>
      <c r="AP35" s="43"/>
      <c r="AQ35" s="43"/>
      <c r="AR35" s="39" t="s">
        <v>10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</row>
    <row r="36" spans="1:61" x14ac:dyDescent="0.15">
      <c r="A36" s="1"/>
      <c r="B36" s="1"/>
      <c r="H36" s="44" t="s">
        <v>8</v>
      </c>
      <c r="I36" s="44"/>
      <c r="J36" s="44"/>
      <c r="K36" s="44"/>
      <c r="L36" s="44"/>
      <c r="M36" s="44"/>
      <c r="N36" s="44"/>
      <c r="O36" s="44"/>
      <c r="P36" s="44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4" t="s">
        <v>8</v>
      </c>
      <c r="AJ36" s="44"/>
      <c r="AK36" s="44"/>
      <c r="AL36" s="44"/>
      <c r="AM36" s="44"/>
      <c r="AN36" s="44"/>
      <c r="AO36" s="44"/>
      <c r="AP36" s="44"/>
      <c r="AQ36" s="44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</row>
    <row r="37" spans="1:61" x14ac:dyDescent="0.15">
      <c r="A37" s="1"/>
      <c r="B37" s="1"/>
      <c r="H37" s="40">
        <v>24</v>
      </c>
      <c r="I37" s="40"/>
      <c r="J37" s="40"/>
      <c r="K37" s="40"/>
      <c r="L37" s="40"/>
      <c r="M37" s="40"/>
      <c r="N37" s="40"/>
      <c r="O37" s="40"/>
      <c r="P37" s="40"/>
      <c r="Q37" s="40">
        <f>$AY$2+3350</f>
        <v>23850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>
        <v>24</v>
      </c>
      <c r="AJ37" s="40"/>
      <c r="AK37" s="40"/>
      <c r="AL37" s="40"/>
      <c r="AM37" s="40"/>
      <c r="AN37" s="40"/>
      <c r="AO37" s="40"/>
      <c r="AP37" s="40"/>
      <c r="AQ37" s="40"/>
      <c r="AR37" s="40" t="s">
        <v>88</v>
      </c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</row>
    <row r="38" spans="1:61" x14ac:dyDescent="0.15">
      <c r="A38" s="1"/>
      <c r="B38" s="1"/>
      <c r="H38" s="45">
        <v>27</v>
      </c>
      <c r="I38" s="45"/>
      <c r="J38" s="45"/>
      <c r="K38" s="45"/>
      <c r="L38" s="45"/>
      <c r="M38" s="45"/>
      <c r="N38" s="45"/>
      <c r="O38" s="45"/>
      <c r="P38" s="45"/>
      <c r="Q38" s="45">
        <f>$AY$2+3600</f>
        <v>24100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27</v>
      </c>
      <c r="AJ38" s="45"/>
      <c r="AK38" s="45"/>
      <c r="AL38" s="45"/>
      <c r="AM38" s="45"/>
      <c r="AN38" s="45"/>
      <c r="AO38" s="45"/>
      <c r="AP38" s="45"/>
      <c r="AQ38" s="45"/>
      <c r="AR38" s="45">
        <f>$AY$2+4400</f>
        <v>24900</v>
      </c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</row>
    <row r="39" spans="1:61" x14ac:dyDescent="0.15">
      <c r="A39" s="1"/>
      <c r="B39" s="1"/>
      <c r="H39" s="45">
        <v>30</v>
      </c>
      <c r="I39" s="45"/>
      <c r="J39" s="45"/>
      <c r="K39" s="45"/>
      <c r="L39" s="45"/>
      <c r="M39" s="45"/>
      <c r="N39" s="45"/>
      <c r="O39" s="45"/>
      <c r="P39" s="45"/>
      <c r="Q39" s="45">
        <f>$AY$2+4050</f>
        <v>24550</v>
      </c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>
        <v>30</v>
      </c>
      <c r="AJ39" s="45"/>
      <c r="AK39" s="45"/>
      <c r="AL39" s="45"/>
      <c r="AM39" s="45"/>
      <c r="AN39" s="45"/>
      <c r="AO39" s="45"/>
      <c r="AP39" s="45"/>
      <c r="AQ39" s="45"/>
      <c r="AR39" s="45">
        <f>$AY$2+4850</f>
        <v>25350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</row>
    <row r="40" spans="1:61" x14ac:dyDescent="0.15">
      <c r="A40" s="1"/>
      <c r="B40" s="1"/>
      <c r="H40" s="45">
        <v>33</v>
      </c>
      <c r="I40" s="45"/>
      <c r="J40" s="45"/>
      <c r="K40" s="45"/>
      <c r="L40" s="45"/>
      <c r="M40" s="45"/>
      <c r="N40" s="45"/>
      <c r="O40" s="45"/>
      <c r="P40" s="45"/>
      <c r="Q40" s="45">
        <f>$AY$2+4500</f>
        <v>25000</v>
      </c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v>33</v>
      </c>
      <c r="AJ40" s="45"/>
      <c r="AK40" s="45"/>
      <c r="AL40" s="45"/>
      <c r="AM40" s="45"/>
      <c r="AN40" s="45"/>
      <c r="AO40" s="45"/>
      <c r="AP40" s="45"/>
      <c r="AQ40" s="45"/>
      <c r="AR40" s="45">
        <f>$AY$2+5500</f>
        <v>26000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</row>
    <row r="41" spans="1:61" x14ac:dyDescent="0.15">
      <c r="A41" s="1"/>
      <c r="B41" s="1"/>
      <c r="H41" s="45">
        <v>36</v>
      </c>
      <c r="I41" s="45"/>
      <c r="J41" s="45"/>
      <c r="K41" s="45"/>
      <c r="L41" s="45"/>
      <c r="M41" s="45"/>
      <c r="N41" s="45"/>
      <c r="O41" s="45"/>
      <c r="P41" s="45"/>
      <c r="Q41" s="45" t="s">
        <v>84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>
        <v>36</v>
      </c>
      <c r="AJ41" s="45"/>
      <c r="AK41" s="45"/>
      <c r="AL41" s="45"/>
      <c r="AM41" s="45"/>
      <c r="AN41" s="45"/>
      <c r="AO41" s="45"/>
      <c r="AP41" s="45"/>
      <c r="AQ41" s="45"/>
      <c r="AR41" s="45">
        <f>$AY$2+6250</f>
        <v>26750</v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</row>
    <row r="42" spans="1:61" x14ac:dyDescent="0.15">
      <c r="A42" s="1"/>
      <c r="B42" s="1"/>
      <c r="H42" s="45">
        <v>39</v>
      </c>
      <c r="I42" s="45"/>
      <c r="J42" s="45"/>
      <c r="K42" s="45"/>
      <c r="L42" s="45"/>
      <c r="M42" s="45"/>
      <c r="N42" s="45"/>
      <c r="O42" s="45"/>
      <c r="P42" s="45"/>
      <c r="Q42" s="45" t="s">
        <v>85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>
        <v>39</v>
      </c>
      <c r="AJ42" s="45"/>
      <c r="AK42" s="45"/>
      <c r="AL42" s="45"/>
      <c r="AM42" s="45"/>
      <c r="AN42" s="45"/>
      <c r="AO42" s="45"/>
      <c r="AP42" s="45"/>
      <c r="AQ42" s="45"/>
      <c r="AR42" s="45">
        <f>$AY$2+7050</f>
        <v>27550</v>
      </c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</row>
    <row r="43" spans="1:61" x14ac:dyDescent="0.15">
      <c r="A43" s="1"/>
      <c r="B43" s="1"/>
      <c r="H43" s="45">
        <v>40</v>
      </c>
      <c r="I43" s="45"/>
      <c r="J43" s="45"/>
      <c r="K43" s="45"/>
      <c r="L43" s="45"/>
      <c r="M43" s="45"/>
      <c r="N43" s="45"/>
      <c r="O43" s="45"/>
      <c r="P43" s="45"/>
      <c r="Q43" s="45" t="s">
        <v>86</v>
      </c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>
        <v>40</v>
      </c>
      <c r="AJ43" s="45"/>
      <c r="AK43" s="45"/>
      <c r="AL43" s="45"/>
      <c r="AM43" s="45"/>
      <c r="AN43" s="45"/>
      <c r="AO43" s="45"/>
      <c r="AP43" s="45"/>
      <c r="AQ43" s="45"/>
      <c r="AR43" s="45">
        <f>$AY$2+7350</f>
        <v>27850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</row>
    <row r="44" spans="1:61" x14ac:dyDescent="0.15">
      <c r="A44" s="1"/>
      <c r="B44" s="1"/>
      <c r="H44" s="45">
        <v>42</v>
      </c>
      <c r="I44" s="45"/>
      <c r="J44" s="45"/>
      <c r="K44" s="45"/>
      <c r="L44" s="45"/>
      <c r="M44" s="45"/>
      <c r="N44" s="45"/>
      <c r="O44" s="45"/>
      <c r="P44" s="45"/>
      <c r="Q44" s="45" t="s">
        <v>87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>
        <v>42</v>
      </c>
      <c r="AJ44" s="45"/>
      <c r="AK44" s="45"/>
      <c r="AL44" s="45"/>
      <c r="AM44" s="45"/>
      <c r="AN44" s="45"/>
      <c r="AO44" s="45"/>
      <c r="AP44" s="45"/>
      <c r="AQ44" s="45"/>
      <c r="AR44" s="45">
        <f>$AY$2+7650</f>
        <v>28150</v>
      </c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</row>
    <row r="45" spans="1:61" x14ac:dyDescent="0.15">
      <c r="A45" s="1"/>
      <c r="B45" s="1"/>
      <c r="H45" s="46">
        <v>45</v>
      </c>
      <c r="I45" s="46"/>
      <c r="J45" s="46"/>
      <c r="K45" s="46"/>
      <c r="L45" s="46"/>
      <c r="M45" s="46"/>
      <c r="N45" s="46"/>
      <c r="O45" s="46"/>
      <c r="P45" s="46"/>
      <c r="Q45" s="46" t="s">
        <v>53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>
        <v>45</v>
      </c>
      <c r="AJ45" s="46"/>
      <c r="AK45" s="46"/>
      <c r="AL45" s="46"/>
      <c r="AM45" s="46"/>
      <c r="AN45" s="46"/>
      <c r="AO45" s="46"/>
      <c r="AP45" s="46"/>
      <c r="AQ45" s="46"/>
      <c r="AR45" s="46">
        <f>$AY$2+8750</f>
        <v>29250</v>
      </c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</row>
    <row r="46" spans="1:61" x14ac:dyDescent="0.15">
      <c r="A46" s="1"/>
      <c r="B46" s="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x14ac:dyDescent="0.15">
      <c r="A47" s="1"/>
      <c r="B47" s="1"/>
      <c r="G47" s="11" t="s">
        <v>18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61" x14ac:dyDescent="0.15">
      <c r="A48" s="1"/>
      <c r="B48" s="1"/>
      <c r="G48" s="9"/>
      <c r="H48" s="9"/>
      <c r="I48" s="9" t="s">
        <v>55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62" x14ac:dyDescent="0.15">
      <c r="A49" s="1"/>
      <c r="B49" s="1"/>
      <c r="H49" s="39" t="s">
        <v>23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 t="s">
        <v>13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</row>
    <row r="50" spans="1:62" x14ac:dyDescent="0.15">
      <c r="A50" s="1"/>
      <c r="B50" s="1"/>
      <c r="H50" s="39" t="s">
        <v>6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 t="s">
        <v>14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</row>
    <row r="51" spans="1:62" x14ac:dyDescent="0.15">
      <c r="A51" s="1"/>
      <c r="B51" s="1"/>
      <c r="H51" s="47" t="s">
        <v>19</v>
      </c>
      <c r="I51" s="47"/>
      <c r="J51" s="47"/>
      <c r="K51" s="47"/>
      <c r="L51" s="47"/>
      <c r="M51" s="47"/>
      <c r="N51" s="47"/>
      <c r="O51" s="47"/>
      <c r="P51" s="48"/>
      <c r="Q51" s="55" t="s">
        <v>20</v>
      </c>
      <c r="R51" s="47"/>
      <c r="S51" s="47"/>
      <c r="T51" s="47"/>
      <c r="U51" s="47"/>
      <c r="V51" s="47"/>
      <c r="W51" s="47"/>
      <c r="X51" s="47"/>
      <c r="Y51" s="47"/>
      <c r="Z51" s="40">
        <f>$AY$2+1800</f>
        <v>22300</v>
      </c>
      <c r="AA51" s="40"/>
      <c r="AB51" s="40"/>
      <c r="AC51" s="40"/>
      <c r="AD51" s="40"/>
      <c r="AE51" s="40"/>
      <c r="AF51" s="40"/>
      <c r="AG51" s="40"/>
      <c r="AH51" s="40"/>
      <c r="AI51" s="47" t="s">
        <v>19</v>
      </c>
      <c r="AJ51" s="47"/>
      <c r="AK51" s="47"/>
      <c r="AL51" s="47"/>
      <c r="AM51" s="47"/>
      <c r="AN51" s="47"/>
      <c r="AO51" s="47"/>
      <c r="AP51" s="47"/>
      <c r="AQ51" s="48"/>
      <c r="AR51" s="55" t="s">
        <v>20</v>
      </c>
      <c r="AS51" s="47"/>
      <c r="AT51" s="47"/>
      <c r="AU51" s="47"/>
      <c r="AV51" s="47"/>
      <c r="AW51" s="47"/>
      <c r="AX51" s="47"/>
      <c r="AY51" s="47"/>
      <c r="AZ51" s="47"/>
      <c r="BA51" s="40">
        <f>$AY$2+3300</f>
        <v>23800</v>
      </c>
      <c r="BB51" s="40"/>
      <c r="BC51" s="40"/>
      <c r="BD51" s="40"/>
      <c r="BE51" s="40"/>
      <c r="BF51" s="40"/>
      <c r="BG51" s="40"/>
      <c r="BH51" s="40"/>
      <c r="BI51" s="40"/>
    </row>
    <row r="52" spans="1:62" x14ac:dyDescent="0.15">
      <c r="A52" s="1"/>
      <c r="B52" s="1"/>
      <c r="H52" s="51" t="s">
        <v>21</v>
      </c>
      <c r="I52" s="51"/>
      <c r="J52" s="51"/>
      <c r="K52" s="51"/>
      <c r="L52" s="51"/>
      <c r="M52" s="51"/>
      <c r="N52" s="51"/>
      <c r="O52" s="51"/>
      <c r="P52" s="52"/>
      <c r="Q52" s="53" t="s">
        <v>20</v>
      </c>
      <c r="R52" s="51"/>
      <c r="S52" s="51"/>
      <c r="T52" s="51"/>
      <c r="U52" s="51"/>
      <c r="V52" s="51"/>
      <c r="W52" s="51"/>
      <c r="X52" s="51"/>
      <c r="Y52" s="51"/>
      <c r="Z52" s="45"/>
      <c r="AA52" s="45"/>
      <c r="AB52" s="45"/>
      <c r="AC52" s="45"/>
      <c r="AD52" s="45"/>
      <c r="AE52" s="45"/>
      <c r="AF52" s="45"/>
      <c r="AG52" s="45"/>
      <c r="AH52" s="45"/>
      <c r="AI52" s="51" t="s">
        <v>21</v>
      </c>
      <c r="AJ52" s="51"/>
      <c r="AK52" s="51"/>
      <c r="AL52" s="51"/>
      <c r="AM52" s="51"/>
      <c r="AN52" s="51"/>
      <c r="AO52" s="51"/>
      <c r="AP52" s="51"/>
      <c r="AQ52" s="52"/>
      <c r="AR52" s="53" t="s">
        <v>20</v>
      </c>
      <c r="AS52" s="51"/>
      <c r="AT52" s="51"/>
      <c r="AU52" s="51"/>
      <c r="AV52" s="51"/>
      <c r="AW52" s="51"/>
      <c r="AX52" s="51"/>
      <c r="AY52" s="51"/>
      <c r="AZ52" s="51"/>
      <c r="BA52" s="45"/>
      <c r="BB52" s="45"/>
      <c r="BC52" s="45"/>
      <c r="BD52" s="45"/>
      <c r="BE52" s="45"/>
      <c r="BF52" s="45"/>
      <c r="BG52" s="45"/>
      <c r="BH52" s="45"/>
      <c r="BI52" s="45"/>
    </row>
    <row r="53" spans="1:62" x14ac:dyDescent="0.15">
      <c r="A53" s="1"/>
      <c r="B53" s="1"/>
      <c r="H53" s="51" t="s">
        <v>56</v>
      </c>
      <c r="I53" s="51"/>
      <c r="J53" s="51"/>
      <c r="K53" s="51"/>
      <c r="L53" s="51"/>
      <c r="M53" s="51"/>
      <c r="N53" s="51"/>
      <c r="O53" s="51"/>
      <c r="P53" s="52"/>
      <c r="Q53" s="53" t="s">
        <v>57</v>
      </c>
      <c r="R53" s="51"/>
      <c r="S53" s="51"/>
      <c r="T53" s="51"/>
      <c r="U53" s="51"/>
      <c r="V53" s="51"/>
      <c r="W53" s="51"/>
      <c r="X53" s="51"/>
      <c r="Y53" s="51"/>
      <c r="Z53" s="45">
        <f>$AY$2+800</f>
        <v>21300</v>
      </c>
      <c r="AA53" s="45"/>
      <c r="AB53" s="45"/>
      <c r="AC53" s="45"/>
      <c r="AD53" s="45"/>
      <c r="AE53" s="45"/>
      <c r="AF53" s="45"/>
      <c r="AG53" s="45"/>
      <c r="AH53" s="45"/>
      <c r="AI53" s="51" t="s">
        <v>59</v>
      </c>
      <c r="AJ53" s="51"/>
      <c r="AK53" s="51"/>
      <c r="AL53" s="51"/>
      <c r="AM53" s="51"/>
      <c r="AN53" s="51"/>
      <c r="AO53" s="51"/>
      <c r="AP53" s="51"/>
      <c r="AQ53" s="52"/>
      <c r="AR53" s="53" t="s">
        <v>57</v>
      </c>
      <c r="AS53" s="51"/>
      <c r="AT53" s="51"/>
      <c r="AU53" s="51"/>
      <c r="AV53" s="51"/>
      <c r="AW53" s="51"/>
      <c r="AX53" s="51"/>
      <c r="AY53" s="51"/>
      <c r="AZ53" s="51"/>
      <c r="BA53" s="45">
        <f>$AY$2+2300</f>
        <v>22800</v>
      </c>
      <c r="BB53" s="45"/>
      <c r="BC53" s="45"/>
      <c r="BD53" s="45"/>
      <c r="BE53" s="45"/>
      <c r="BF53" s="45"/>
      <c r="BG53" s="45"/>
      <c r="BH53" s="45"/>
      <c r="BI53" s="45"/>
    </row>
    <row r="54" spans="1:62" x14ac:dyDescent="0.15">
      <c r="A54" s="1"/>
      <c r="B54" s="1"/>
      <c r="H54" s="51" t="s">
        <v>21</v>
      </c>
      <c r="I54" s="51"/>
      <c r="J54" s="51"/>
      <c r="K54" s="51"/>
      <c r="L54" s="51"/>
      <c r="M54" s="51"/>
      <c r="N54" s="51"/>
      <c r="O54" s="51"/>
      <c r="P54" s="52"/>
      <c r="Q54" s="53" t="s">
        <v>57</v>
      </c>
      <c r="R54" s="51"/>
      <c r="S54" s="51"/>
      <c r="T54" s="51"/>
      <c r="U54" s="51"/>
      <c r="V54" s="51"/>
      <c r="W54" s="51"/>
      <c r="X54" s="51"/>
      <c r="Y54" s="51"/>
      <c r="Z54" s="45"/>
      <c r="AA54" s="45"/>
      <c r="AB54" s="45"/>
      <c r="AC54" s="45"/>
      <c r="AD54" s="45"/>
      <c r="AE54" s="45"/>
      <c r="AF54" s="45"/>
      <c r="AG54" s="45"/>
      <c r="AH54" s="45"/>
      <c r="AI54" s="51" t="s">
        <v>21</v>
      </c>
      <c r="AJ54" s="51"/>
      <c r="AK54" s="51"/>
      <c r="AL54" s="51"/>
      <c r="AM54" s="51"/>
      <c r="AN54" s="51"/>
      <c r="AO54" s="51"/>
      <c r="AP54" s="51"/>
      <c r="AQ54" s="52"/>
      <c r="AR54" s="53" t="s">
        <v>57</v>
      </c>
      <c r="AS54" s="51"/>
      <c r="AT54" s="51"/>
      <c r="AU54" s="51"/>
      <c r="AV54" s="51"/>
      <c r="AW54" s="51"/>
      <c r="AX54" s="51"/>
      <c r="AY54" s="51"/>
      <c r="AZ54" s="51"/>
      <c r="BA54" s="45"/>
      <c r="BB54" s="45"/>
      <c r="BC54" s="45"/>
      <c r="BD54" s="45"/>
      <c r="BE54" s="45"/>
      <c r="BF54" s="45"/>
      <c r="BG54" s="45"/>
      <c r="BH54" s="45"/>
      <c r="BI54" s="45"/>
    </row>
    <row r="55" spans="1:62" x14ac:dyDescent="0.15">
      <c r="A55" s="1"/>
      <c r="B55" s="1"/>
      <c r="H55" s="51" t="s">
        <v>19</v>
      </c>
      <c r="I55" s="51"/>
      <c r="J55" s="51"/>
      <c r="K55" s="51"/>
      <c r="L55" s="51"/>
      <c r="M55" s="51"/>
      <c r="N55" s="51"/>
      <c r="O55" s="51"/>
      <c r="P55" s="52"/>
      <c r="Q55" s="53" t="s">
        <v>58</v>
      </c>
      <c r="R55" s="51"/>
      <c r="S55" s="51"/>
      <c r="T55" s="51"/>
      <c r="U55" s="51"/>
      <c r="V55" s="51"/>
      <c r="W55" s="51"/>
      <c r="X55" s="51"/>
      <c r="Y55" s="51"/>
      <c r="Z55" s="45">
        <f>$AY$2+4300</f>
        <v>24800</v>
      </c>
      <c r="AA55" s="45"/>
      <c r="AB55" s="45"/>
      <c r="AC55" s="45"/>
      <c r="AD55" s="45"/>
      <c r="AE55" s="45"/>
      <c r="AF55" s="45"/>
      <c r="AG55" s="45"/>
      <c r="AH55" s="45"/>
      <c r="AI55" s="51" t="s">
        <v>19</v>
      </c>
      <c r="AJ55" s="51"/>
      <c r="AK55" s="51"/>
      <c r="AL55" s="51"/>
      <c r="AM55" s="51"/>
      <c r="AN55" s="51"/>
      <c r="AO55" s="51"/>
      <c r="AP55" s="51"/>
      <c r="AQ55" s="52"/>
      <c r="AR55" s="53" t="s">
        <v>58</v>
      </c>
      <c r="AS55" s="51"/>
      <c r="AT55" s="51"/>
      <c r="AU55" s="51"/>
      <c r="AV55" s="51"/>
      <c r="AW55" s="51"/>
      <c r="AX55" s="51"/>
      <c r="AY55" s="51"/>
      <c r="AZ55" s="51"/>
      <c r="BA55" s="45">
        <f>$AY$2+5800</f>
        <v>26300</v>
      </c>
      <c r="BB55" s="45"/>
      <c r="BC55" s="45"/>
      <c r="BD55" s="45"/>
      <c r="BE55" s="45"/>
      <c r="BF55" s="45"/>
      <c r="BG55" s="45"/>
      <c r="BH55" s="45"/>
      <c r="BI55" s="45"/>
    </row>
    <row r="56" spans="1:62" x14ac:dyDescent="0.15">
      <c r="A56" s="1"/>
      <c r="B56" s="1"/>
      <c r="H56" s="49" t="s">
        <v>21</v>
      </c>
      <c r="I56" s="49"/>
      <c r="J56" s="49"/>
      <c r="K56" s="49"/>
      <c r="L56" s="49"/>
      <c r="M56" s="49"/>
      <c r="N56" s="49"/>
      <c r="O56" s="49"/>
      <c r="P56" s="50"/>
      <c r="Q56" s="54" t="s">
        <v>58</v>
      </c>
      <c r="R56" s="49"/>
      <c r="S56" s="49"/>
      <c r="T56" s="49"/>
      <c r="U56" s="49"/>
      <c r="V56" s="49"/>
      <c r="W56" s="49"/>
      <c r="X56" s="49"/>
      <c r="Y56" s="49"/>
      <c r="Z56" s="46"/>
      <c r="AA56" s="46"/>
      <c r="AB56" s="46"/>
      <c r="AC56" s="46"/>
      <c r="AD56" s="46"/>
      <c r="AE56" s="46"/>
      <c r="AF56" s="46"/>
      <c r="AG56" s="46"/>
      <c r="AH56" s="46"/>
      <c r="AI56" s="49" t="s">
        <v>21</v>
      </c>
      <c r="AJ56" s="49"/>
      <c r="AK56" s="49"/>
      <c r="AL56" s="49"/>
      <c r="AM56" s="49"/>
      <c r="AN56" s="49"/>
      <c r="AO56" s="49"/>
      <c r="AP56" s="49"/>
      <c r="AQ56" s="50"/>
      <c r="AR56" s="54" t="s">
        <v>58</v>
      </c>
      <c r="AS56" s="49"/>
      <c r="AT56" s="49"/>
      <c r="AU56" s="49"/>
      <c r="AV56" s="49"/>
      <c r="AW56" s="49"/>
      <c r="AX56" s="49"/>
      <c r="AY56" s="49"/>
      <c r="AZ56" s="49"/>
      <c r="BA56" s="46"/>
      <c r="BB56" s="46"/>
      <c r="BC56" s="46"/>
      <c r="BD56" s="46"/>
      <c r="BE56" s="46"/>
      <c r="BF56" s="46"/>
      <c r="BG56" s="46"/>
      <c r="BH56" s="46"/>
      <c r="BI56" s="46"/>
    </row>
    <row r="57" spans="1:62" x14ac:dyDescent="0.15">
      <c r="A57" s="1"/>
      <c r="B57" s="1"/>
    </row>
    <row r="58" spans="1:62" x14ac:dyDescent="0.15">
      <c r="A58" s="1"/>
      <c r="B58" s="1"/>
      <c r="G58" s="11" t="s">
        <v>22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62" x14ac:dyDescent="0.15">
      <c r="A59" s="1"/>
      <c r="B59" s="1"/>
      <c r="H59" s="67" t="s">
        <v>68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</row>
    <row r="60" spans="1:62" x14ac:dyDescent="0.15">
      <c r="A60" s="1"/>
      <c r="B60" s="1"/>
      <c r="H60" s="67" t="s">
        <v>70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</row>
    <row r="61" spans="1:62" x14ac:dyDescent="0.15">
      <c r="A61" s="1"/>
      <c r="B61" s="1"/>
      <c r="H61" s="66" t="s">
        <v>1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56">
        <v>1800</v>
      </c>
      <c r="V61" s="57"/>
      <c r="W61" s="57"/>
      <c r="X61" s="57"/>
      <c r="Y61" s="57"/>
      <c r="Z61" s="57"/>
      <c r="AA61" s="57"/>
      <c r="AB61" s="57"/>
      <c r="AC61" s="57"/>
      <c r="AD61" s="57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9"/>
      <c r="AP61" s="63">
        <v>1900</v>
      </c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8"/>
      <c r="BB61" s="58"/>
      <c r="BC61" s="58"/>
      <c r="BD61" s="58"/>
      <c r="BE61" s="58"/>
      <c r="BF61" s="58"/>
      <c r="BG61" s="58"/>
      <c r="BH61" s="58"/>
      <c r="BI61" s="58"/>
      <c r="BJ61" s="64"/>
    </row>
    <row r="62" spans="1:62" x14ac:dyDescent="0.15">
      <c r="A62" s="1"/>
      <c r="B62" s="1"/>
      <c r="H62" s="71"/>
      <c r="I62" s="72"/>
      <c r="J62" s="72"/>
      <c r="K62" s="72"/>
      <c r="L62" s="72"/>
      <c r="M62" s="68" t="s">
        <v>66</v>
      </c>
      <c r="N62" s="69"/>
      <c r="O62" s="69"/>
      <c r="P62" s="69"/>
      <c r="Q62" s="69"/>
      <c r="R62" s="69"/>
      <c r="S62" s="69"/>
      <c r="T62" s="70"/>
      <c r="U62" s="56" t="s">
        <v>67</v>
      </c>
      <c r="V62" s="57"/>
      <c r="W62" s="57"/>
      <c r="X62" s="57"/>
      <c r="Y62" s="57"/>
      <c r="Z62" s="57"/>
      <c r="AA62" s="57"/>
      <c r="AB62" s="57"/>
      <c r="AC62" s="57"/>
      <c r="AD62" s="57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9"/>
      <c r="AP62" s="63" t="s">
        <v>63</v>
      </c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8"/>
      <c r="BB62" s="58"/>
      <c r="BC62" s="58"/>
      <c r="BD62" s="58"/>
      <c r="BE62" s="58"/>
      <c r="BF62" s="58"/>
      <c r="BG62" s="58"/>
      <c r="BH62" s="58"/>
      <c r="BI62" s="58"/>
      <c r="BJ62" s="64"/>
    </row>
    <row r="63" spans="1:62" ht="14.25" customHeight="1" x14ac:dyDescent="0.15">
      <c r="A63" s="3"/>
      <c r="B63" s="3"/>
      <c r="H63" s="44" t="s">
        <v>26</v>
      </c>
      <c r="I63" s="44"/>
      <c r="J63" s="44"/>
      <c r="K63" s="44"/>
      <c r="L63" s="44"/>
      <c r="M63" s="44"/>
      <c r="N63" s="16"/>
      <c r="O63" s="82" t="s">
        <v>7</v>
      </c>
      <c r="P63" s="83"/>
      <c r="Q63" s="83"/>
      <c r="R63" s="83"/>
      <c r="S63" s="83"/>
      <c r="T63" s="84"/>
      <c r="U63" s="78" t="s">
        <v>25</v>
      </c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80"/>
    </row>
    <row r="64" spans="1:62" x14ac:dyDescent="0.15">
      <c r="A64" s="3"/>
      <c r="B64" s="3"/>
      <c r="H64" s="81">
        <v>18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60">
        <f>$AY$2+12800</f>
        <v>33300</v>
      </c>
      <c r="V64" s="61"/>
      <c r="W64" s="61"/>
      <c r="X64" s="61"/>
      <c r="Y64" s="61"/>
      <c r="Z64" s="61"/>
      <c r="AA64" s="61"/>
      <c r="AB64" s="61"/>
      <c r="AC64" s="61"/>
      <c r="AD64" s="61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1">
        <f>$AY$2+10600</f>
        <v>31100</v>
      </c>
      <c r="AQ64" s="61"/>
      <c r="AR64" s="61"/>
      <c r="AS64" s="61"/>
      <c r="AT64" s="61"/>
      <c r="AU64" s="61"/>
      <c r="AV64" s="61"/>
      <c r="AW64" s="61"/>
      <c r="AX64" s="61"/>
      <c r="AY64" s="61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5"/>
    </row>
    <row r="65" spans="1:62" x14ac:dyDescent="0.15">
      <c r="A65" s="3"/>
      <c r="B65" s="3"/>
      <c r="H65" s="73">
        <v>21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4">
        <f>$AY$2+13400</f>
        <v>33900</v>
      </c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5">
        <f>$AY$2+11200</f>
        <v>31700</v>
      </c>
      <c r="AQ65" s="75"/>
      <c r="AR65" s="75"/>
      <c r="AS65" s="75"/>
      <c r="AT65" s="75"/>
      <c r="AU65" s="75"/>
      <c r="AV65" s="75"/>
      <c r="AW65" s="75"/>
      <c r="AX65" s="75"/>
      <c r="AY65" s="75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7"/>
    </row>
    <row r="66" spans="1:62" x14ac:dyDescent="0.15">
      <c r="A66" s="3"/>
      <c r="B66" s="3"/>
      <c r="H66" s="73">
        <v>24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4">
        <f>$AY$2+14000</f>
        <v>34500</v>
      </c>
      <c r="V66" s="75"/>
      <c r="W66" s="75"/>
      <c r="X66" s="75"/>
      <c r="Y66" s="75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5">
        <f>$AY$2+11800</f>
        <v>32300</v>
      </c>
      <c r="AQ66" s="75"/>
      <c r="AR66" s="75"/>
      <c r="AS66" s="75"/>
      <c r="AT66" s="75"/>
      <c r="AU66" s="75"/>
      <c r="AV66" s="75"/>
      <c r="AW66" s="75"/>
      <c r="AX66" s="75"/>
      <c r="AY66" s="75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7"/>
    </row>
    <row r="67" spans="1:62" x14ac:dyDescent="0.15">
      <c r="A67" s="3"/>
      <c r="B67" s="3"/>
      <c r="H67" s="73">
        <v>27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>
        <f>$AY$2+14600</f>
        <v>35100</v>
      </c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5">
        <f>$AY$2+12400</f>
        <v>32900</v>
      </c>
      <c r="AQ67" s="75"/>
      <c r="AR67" s="75"/>
      <c r="AS67" s="75"/>
      <c r="AT67" s="75"/>
      <c r="AU67" s="75"/>
      <c r="AV67" s="75"/>
      <c r="AW67" s="75"/>
      <c r="AX67" s="75"/>
      <c r="AY67" s="75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7"/>
    </row>
    <row r="68" spans="1:62" x14ac:dyDescent="0.15">
      <c r="A68" s="3"/>
      <c r="B68" s="3"/>
      <c r="H68" s="73">
        <v>30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4">
        <f>$AY$2+15200</f>
        <v>35700</v>
      </c>
      <c r="V68" s="75"/>
      <c r="W68" s="75"/>
      <c r="X68" s="75"/>
      <c r="Y68" s="75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5">
        <f>$AY$2+13000</f>
        <v>33500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7"/>
    </row>
    <row r="69" spans="1:62" ht="13.5" customHeight="1" x14ac:dyDescent="0.15">
      <c r="A69" s="3"/>
      <c r="B69" s="3"/>
      <c r="H69" s="89">
        <v>33</v>
      </c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90">
        <f>$AY$2+15800</f>
        <v>36300</v>
      </c>
      <c r="V69" s="91"/>
      <c r="W69" s="91"/>
      <c r="X69" s="91"/>
      <c r="Y69" s="91"/>
      <c r="Z69" s="91"/>
      <c r="AA69" s="91"/>
      <c r="AB69" s="91"/>
      <c r="AC69" s="91"/>
      <c r="AD69" s="91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1">
        <f>$AY$2+13600</f>
        <v>34100</v>
      </c>
      <c r="AQ69" s="91"/>
      <c r="AR69" s="91"/>
      <c r="AS69" s="91"/>
      <c r="AT69" s="91"/>
      <c r="AU69" s="91"/>
      <c r="AV69" s="91"/>
      <c r="AW69" s="91"/>
      <c r="AX69" s="91"/>
      <c r="AY69" s="91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164"/>
    </row>
    <row r="70" spans="1:62" ht="13.5" customHeight="1" x14ac:dyDescent="0.15">
      <c r="A70" s="3"/>
      <c r="B70" s="3"/>
    </row>
    <row r="71" spans="1:62" x14ac:dyDescent="0.15">
      <c r="A71" s="3"/>
      <c r="B71" s="3"/>
      <c r="G71" s="9" t="s">
        <v>27</v>
      </c>
    </row>
    <row r="72" spans="1:62" x14ac:dyDescent="0.15">
      <c r="A72" s="3"/>
      <c r="B72" s="3"/>
      <c r="H72" s="9" t="s">
        <v>28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BJ72" s="8"/>
    </row>
    <row r="73" spans="1:62" x14ac:dyDescent="0.15">
      <c r="A73" s="3"/>
      <c r="B73" s="3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J73" s="8"/>
    </row>
    <row r="74" spans="1:62" x14ac:dyDescent="0.15">
      <c r="A74" s="3"/>
      <c r="B74" s="3"/>
      <c r="H74" s="165" t="s">
        <v>69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2"/>
      <c r="BJ74" s="34"/>
    </row>
    <row r="75" spans="1:62" x14ac:dyDescent="0.15">
      <c r="A75" s="3"/>
      <c r="B75" s="3"/>
      <c r="H75" s="167" t="s">
        <v>24</v>
      </c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9"/>
    </row>
    <row r="76" spans="1:62" x14ac:dyDescent="0.15">
      <c r="A76" s="3"/>
      <c r="B76" s="3"/>
      <c r="H76" s="66" t="s">
        <v>1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56">
        <v>1800</v>
      </c>
      <c r="V76" s="57"/>
      <c r="W76" s="57"/>
      <c r="X76" s="57"/>
      <c r="Y76" s="57"/>
      <c r="Z76" s="57"/>
      <c r="AA76" s="57"/>
      <c r="AB76" s="57"/>
      <c r="AC76" s="57"/>
      <c r="AD76" s="57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9"/>
      <c r="AP76" s="63">
        <v>1900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8"/>
      <c r="BB76" s="58"/>
      <c r="BC76" s="58"/>
      <c r="BD76" s="58"/>
      <c r="BE76" s="58"/>
      <c r="BF76" s="58"/>
      <c r="BG76" s="58"/>
      <c r="BH76" s="58"/>
      <c r="BI76" s="58"/>
      <c r="BJ76" s="64"/>
    </row>
    <row r="77" spans="1:62" x14ac:dyDescent="0.15">
      <c r="A77" s="3"/>
      <c r="B77" s="3"/>
      <c r="H77" s="71"/>
      <c r="I77" s="72"/>
      <c r="J77" s="72"/>
      <c r="K77" s="72"/>
      <c r="L77" s="72"/>
      <c r="M77" s="68" t="s">
        <v>66</v>
      </c>
      <c r="N77" s="69"/>
      <c r="O77" s="69"/>
      <c r="P77" s="69"/>
      <c r="Q77" s="69"/>
      <c r="R77" s="69"/>
      <c r="S77" s="69"/>
      <c r="T77" s="70"/>
      <c r="U77" s="56" t="s">
        <v>67</v>
      </c>
      <c r="V77" s="57"/>
      <c r="W77" s="57"/>
      <c r="X77" s="57"/>
      <c r="Y77" s="57"/>
      <c r="Z77" s="57"/>
      <c r="AA77" s="57"/>
      <c r="AB77" s="57"/>
      <c r="AC77" s="57"/>
      <c r="AD77" s="57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9"/>
      <c r="AP77" s="63" t="s">
        <v>63</v>
      </c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8"/>
      <c r="BB77" s="58"/>
      <c r="BC77" s="58"/>
      <c r="BD77" s="58"/>
      <c r="BE77" s="58"/>
      <c r="BF77" s="58"/>
      <c r="BG77" s="58"/>
      <c r="BH77" s="58"/>
      <c r="BI77" s="58"/>
      <c r="BJ77" s="64"/>
    </row>
    <row r="78" spans="1:62" ht="14.25" customHeight="1" x14ac:dyDescent="0.15">
      <c r="A78" s="3"/>
      <c r="B78" s="3"/>
      <c r="H78" s="44" t="s">
        <v>26</v>
      </c>
      <c r="I78" s="44"/>
      <c r="J78" s="44"/>
      <c r="K78" s="44"/>
      <c r="L78" s="44"/>
      <c r="M78" s="44"/>
      <c r="N78" s="16"/>
      <c r="O78" s="82" t="s">
        <v>7</v>
      </c>
      <c r="P78" s="83"/>
      <c r="Q78" s="83"/>
      <c r="R78" s="83"/>
      <c r="S78" s="83"/>
      <c r="T78" s="84"/>
      <c r="U78" s="78" t="s">
        <v>71</v>
      </c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80"/>
    </row>
    <row r="79" spans="1:62" x14ac:dyDescent="0.15">
      <c r="A79" s="3"/>
      <c r="B79" s="3"/>
      <c r="H79" s="87">
        <v>27</v>
      </c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60">
        <f>$AY$2+15400</f>
        <v>35900</v>
      </c>
      <c r="V79" s="61"/>
      <c r="W79" s="61"/>
      <c r="X79" s="61"/>
      <c r="Y79" s="61"/>
      <c r="Z79" s="61"/>
      <c r="AA79" s="61"/>
      <c r="AB79" s="61"/>
      <c r="AC79" s="61"/>
      <c r="AD79" s="61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1">
        <f>$AY$2+13200</f>
        <v>33700</v>
      </c>
      <c r="AQ79" s="61"/>
      <c r="AR79" s="61"/>
      <c r="AS79" s="61"/>
      <c r="AT79" s="61"/>
      <c r="AU79" s="61"/>
      <c r="AV79" s="61"/>
      <c r="AW79" s="61"/>
      <c r="AX79" s="61"/>
      <c r="AY79" s="61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5"/>
    </row>
    <row r="80" spans="1:62" x14ac:dyDescent="0.15">
      <c r="A80" s="3"/>
      <c r="B80" s="3"/>
      <c r="H80" s="85">
        <v>30</v>
      </c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74">
        <f>$AY$2+16000</f>
        <v>36500</v>
      </c>
      <c r="V80" s="75"/>
      <c r="W80" s="75"/>
      <c r="X80" s="75"/>
      <c r="Y80" s="75"/>
      <c r="Z80" s="75"/>
      <c r="AA80" s="75"/>
      <c r="AB80" s="75"/>
      <c r="AC80" s="75"/>
      <c r="AD80" s="75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5">
        <f>$AY$2+13800</f>
        <v>34300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7"/>
    </row>
    <row r="81" spans="1:62" x14ac:dyDescent="0.15">
      <c r="A81" s="3"/>
      <c r="B81" s="3"/>
      <c r="H81" s="85">
        <v>33</v>
      </c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74">
        <f>$AY$2+16800</f>
        <v>37300</v>
      </c>
      <c r="V81" s="75"/>
      <c r="W81" s="75"/>
      <c r="X81" s="75"/>
      <c r="Y81" s="75"/>
      <c r="Z81" s="75"/>
      <c r="AA81" s="75"/>
      <c r="AB81" s="75"/>
      <c r="AC81" s="75"/>
      <c r="AD81" s="75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5">
        <f>$AY$2+14600</f>
        <v>35100</v>
      </c>
      <c r="AQ81" s="75"/>
      <c r="AR81" s="75"/>
      <c r="AS81" s="75"/>
      <c r="AT81" s="75"/>
      <c r="AU81" s="75"/>
      <c r="AV81" s="75"/>
      <c r="AW81" s="75"/>
      <c r="AX81" s="75"/>
      <c r="AY81" s="75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7"/>
    </row>
    <row r="82" spans="1:62" x14ac:dyDescent="0.15">
      <c r="A82" s="3"/>
      <c r="B82" s="3"/>
      <c r="H82" s="85">
        <v>36</v>
      </c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74">
        <f>$AY$2+17400</f>
        <v>37900</v>
      </c>
      <c r="V82" s="75"/>
      <c r="W82" s="75"/>
      <c r="X82" s="75"/>
      <c r="Y82" s="75"/>
      <c r="Z82" s="75"/>
      <c r="AA82" s="75"/>
      <c r="AB82" s="75"/>
      <c r="AC82" s="75"/>
      <c r="AD82" s="75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5">
        <f>$AY$2+15200</f>
        <v>35700</v>
      </c>
      <c r="AQ82" s="75"/>
      <c r="AR82" s="75"/>
      <c r="AS82" s="75"/>
      <c r="AT82" s="75"/>
      <c r="AU82" s="75"/>
      <c r="AV82" s="75"/>
      <c r="AW82" s="75"/>
      <c r="AX82" s="75"/>
      <c r="AY82" s="75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7"/>
    </row>
    <row r="83" spans="1:62" ht="13.5" customHeight="1" x14ac:dyDescent="0.15">
      <c r="A83" s="3"/>
      <c r="B83" s="3"/>
      <c r="H83" s="85">
        <v>39</v>
      </c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74">
        <f>$AY$2+18000</f>
        <v>38500</v>
      </c>
      <c r="V83" s="75"/>
      <c r="W83" s="75"/>
      <c r="X83" s="75"/>
      <c r="Y83" s="75"/>
      <c r="Z83" s="75"/>
      <c r="AA83" s="75"/>
      <c r="AB83" s="75"/>
      <c r="AC83" s="75"/>
      <c r="AD83" s="75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5">
        <f>$AY$2+15800</f>
        <v>36300</v>
      </c>
      <c r="AQ83" s="75"/>
      <c r="AR83" s="75"/>
      <c r="AS83" s="75"/>
      <c r="AT83" s="75"/>
      <c r="AU83" s="75"/>
      <c r="AV83" s="75"/>
      <c r="AW83" s="75"/>
      <c r="AX83" s="75"/>
      <c r="AY83" s="75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7"/>
    </row>
    <row r="84" spans="1:62" x14ac:dyDescent="0.15">
      <c r="A84" s="3"/>
      <c r="B84" s="3"/>
      <c r="H84" s="170">
        <v>40</v>
      </c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90">
        <f>$AY$2+18200</f>
        <v>38700</v>
      </c>
      <c r="V84" s="91"/>
      <c r="W84" s="91"/>
      <c r="X84" s="91"/>
      <c r="Y84" s="91"/>
      <c r="Z84" s="91"/>
      <c r="AA84" s="91"/>
      <c r="AB84" s="91"/>
      <c r="AC84" s="91"/>
      <c r="AD84" s="91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1">
        <f>$AY$2+15900</f>
        <v>36400</v>
      </c>
      <c r="AQ84" s="91"/>
      <c r="AR84" s="91"/>
      <c r="AS84" s="91"/>
      <c r="AT84" s="91"/>
      <c r="AU84" s="91"/>
      <c r="AV84" s="91"/>
      <c r="AW84" s="91"/>
      <c r="AX84" s="91"/>
      <c r="AY84" s="91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164"/>
    </row>
    <row r="85" spans="1:62" x14ac:dyDescent="0.15">
      <c r="A85" s="3"/>
      <c r="B85" s="3"/>
    </row>
    <row r="86" spans="1:62" x14ac:dyDescent="0.15">
      <c r="A86" s="3"/>
      <c r="B86" s="3"/>
      <c r="G86" t="s">
        <v>73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:62" x14ac:dyDescent="0.15">
      <c r="A87" s="3"/>
      <c r="B87" s="3"/>
      <c r="G87" s="9"/>
      <c r="H87" s="67" t="s">
        <v>29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</row>
    <row r="88" spans="1:62" x14ac:dyDescent="0.15">
      <c r="A88" s="3"/>
      <c r="B88" s="3"/>
      <c r="H88" s="67" t="s">
        <v>72</v>
      </c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2" x14ac:dyDescent="0.15">
      <c r="A89" s="3"/>
      <c r="B89" s="3"/>
      <c r="H89" s="97" t="s">
        <v>74</v>
      </c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5" t="s">
        <v>31</v>
      </c>
      <c r="V89" s="96"/>
      <c r="W89" s="96"/>
      <c r="X89" s="96"/>
      <c r="Y89" s="96"/>
      <c r="Z89" s="96"/>
      <c r="AA89" s="96"/>
      <c r="AB89" s="96"/>
      <c r="AC89" s="79" t="s">
        <v>32</v>
      </c>
      <c r="AD89" s="79"/>
      <c r="AE89" s="79"/>
      <c r="AF89" s="79"/>
      <c r="AG89" s="79"/>
      <c r="AH89" s="79"/>
      <c r="AI89" s="79"/>
      <c r="AJ89" s="79"/>
      <c r="AK89" s="79" t="s">
        <v>32</v>
      </c>
      <c r="AL89" s="79"/>
      <c r="AM89" s="79"/>
      <c r="AN89" s="79"/>
      <c r="AO89" s="79"/>
      <c r="AP89" s="79"/>
      <c r="AQ89" s="79"/>
      <c r="AR89" s="79"/>
      <c r="AS89" s="79" t="s">
        <v>32</v>
      </c>
      <c r="AT89" s="79"/>
      <c r="AU89" s="79"/>
      <c r="AV89" s="79"/>
      <c r="AW89" s="79"/>
      <c r="AX89" s="79"/>
      <c r="AY89" s="79"/>
      <c r="AZ89" s="79"/>
      <c r="BA89" s="79" t="s">
        <v>32</v>
      </c>
      <c r="BB89" s="79"/>
      <c r="BC89" s="79"/>
      <c r="BD89" s="79"/>
      <c r="BE89" s="79"/>
      <c r="BF89" s="79"/>
      <c r="BG89" s="79"/>
      <c r="BH89" s="80"/>
    </row>
    <row r="90" spans="1:62" ht="13.5" customHeight="1" x14ac:dyDescent="0.15">
      <c r="A90" s="3"/>
      <c r="B90" s="3"/>
      <c r="H90" s="93" t="s">
        <v>75</v>
      </c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 t="s">
        <v>33</v>
      </c>
      <c r="V90" s="96"/>
      <c r="W90" s="96"/>
      <c r="X90" s="96"/>
      <c r="Y90" s="96"/>
      <c r="Z90" s="96"/>
      <c r="AA90" s="96"/>
      <c r="AB90" s="96"/>
      <c r="AC90" s="79" t="s">
        <v>34</v>
      </c>
      <c r="AD90" s="79"/>
      <c r="AE90" s="79"/>
      <c r="AF90" s="79"/>
      <c r="AG90" s="79"/>
      <c r="AH90" s="79"/>
      <c r="AI90" s="79"/>
      <c r="AJ90" s="79"/>
      <c r="AK90" s="79" t="s">
        <v>35</v>
      </c>
      <c r="AL90" s="79"/>
      <c r="AM90" s="79"/>
      <c r="AN90" s="79"/>
      <c r="AO90" s="79"/>
      <c r="AP90" s="79"/>
      <c r="AQ90" s="79"/>
      <c r="AR90" s="79"/>
      <c r="AS90" s="79" t="s">
        <v>36</v>
      </c>
      <c r="AT90" s="79"/>
      <c r="AU90" s="79"/>
      <c r="AV90" s="79"/>
      <c r="AW90" s="79"/>
      <c r="AX90" s="79"/>
      <c r="AY90" s="79"/>
      <c r="AZ90" s="79"/>
      <c r="BA90" s="79" t="s">
        <v>37</v>
      </c>
      <c r="BB90" s="79"/>
      <c r="BC90" s="79"/>
      <c r="BD90" s="79"/>
      <c r="BE90" s="79"/>
      <c r="BF90" s="79"/>
      <c r="BG90" s="79"/>
      <c r="BH90" s="80"/>
    </row>
    <row r="91" spans="1:62" ht="13.5" customHeight="1" x14ac:dyDescent="0.15">
      <c r="A91" s="3"/>
      <c r="B91" s="3"/>
      <c r="H91" s="106">
        <v>39</v>
      </c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8"/>
      <c r="U91" s="104">
        <f>$AY$2+5900</f>
        <v>26400</v>
      </c>
      <c r="V91" s="61"/>
      <c r="W91" s="61"/>
      <c r="X91" s="61"/>
      <c r="Y91" s="61"/>
      <c r="Z91" s="61"/>
      <c r="AA91" s="61"/>
      <c r="AB91" s="61"/>
      <c r="AC91" s="61">
        <f>$AY$2+5900+300</f>
        <v>26700</v>
      </c>
      <c r="AD91" s="61"/>
      <c r="AE91" s="61"/>
      <c r="AF91" s="61"/>
      <c r="AG91" s="61"/>
      <c r="AH91" s="61"/>
      <c r="AI91" s="61"/>
      <c r="AJ91" s="61"/>
      <c r="AK91" s="61">
        <f>$AY$2+5900+600</f>
        <v>27000</v>
      </c>
      <c r="AL91" s="61"/>
      <c r="AM91" s="61"/>
      <c r="AN91" s="61"/>
      <c r="AO91" s="61"/>
      <c r="AP91" s="61"/>
      <c r="AQ91" s="61"/>
      <c r="AR91" s="61"/>
      <c r="AS91" s="61">
        <f>$AY$2+5900+900</f>
        <v>27300</v>
      </c>
      <c r="AT91" s="61"/>
      <c r="AU91" s="61"/>
      <c r="AV91" s="61"/>
      <c r="AW91" s="61"/>
      <c r="AX91" s="61"/>
      <c r="AY91" s="61"/>
      <c r="AZ91" s="61"/>
      <c r="BA91" s="61" t="s">
        <v>53</v>
      </c>
      <c r="BB91" s="61"/>
      <c r="BC91" s="61"/>
      <c r="BD91" s="61"/>
      <c r="BE91" s="61"/>
      <c r="BF91" s="61"/>
      <c r="BG91" s="61"/>
      <c r="BH91" s="105"/>
    </row>
    <row r="92" spans="1:62" x14ac:dyDescent="0.15">
      <c r="A92" s="3"/>
      <c r="B92" s="3"/>
      <c r="H92" s="100">
        <v>42</v>
      </c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3">
        <f>$AY$2+6500</f>
        <v>27000</v>
      </c>
      <c r="V92" s="75"/>
      <c r="W92" s="75"/>
      <c r="X92" s="75"/>
      <c r="Y92" s="75"/>
      <c r="Z92" s="75"/>
      <c r="AA92" s="75"/>
      <c r="AB92" s="75"/>
      <c r="AC92" s="75">
        <f>$AY$2+6500+300</f>
        <v>27300</v>
      </c>
      <c r="AD92" s="75"/>
      <c r="AE92" s="75"/>
      <c r="AF92" s="75"/>
      <c r="AG92" s="75"/>
      <c r="AH92" s="75"/>
      <c r="AI92" s="75"/>
      <c r="AJ92" s="75"/>
      <c r="AK92" s="75">
        <f>$AY$2+6500+600</f>
        <v>27600</v>
      </c>
      <c r="AL92" s="75"/>
      <c r="AM92" s="75"/>
      <c r="AN92" s="75"/>
      <c r="AO92" s="75"/>
      <c r="AP92" s="75"/>
      <c r="AQ92" s="75"/>
      <c r="AR92" s="75"/>
      <c r="AS92" s="75">
        <f>$AY$2+6500+900</f>
        <v>27900</v>
      </c>
      <c r="AT92" s="75"/>
      <c r="AU92" s="75"/>
      <c r="AV92" s="75"/>
      <c r="AW92" s="75"/>
      <c r="AX92" s="75"/>
      <c r="AY92" s="75"/>
      <c r="AZ92" s="75"/>
      <c r="BA92" s="75">
        <f>$AY$2+6500+1200</f>
        <v>28200</v>
      </c>
      <c r="BB92" s="75"/>
      <c r="BC92" s="75"/>
      <c r="BD92" s="75"/>
      <c r="BE92" s="75"/>
      <c r="BF92" s="75"/>
      <c r="BG92" s="75"/>
      <c r="BH92" s="99"/>
    </row>
    <row r="93" spans="1:62" x14ac:dyDescent="0.15">
      <c r="A93" s="3"/>
      <c r="B93" s="3"/>
      <c r="H93" s="100">
        <v>45</v>
      </c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3">
        <f>$AY$2+6900</f>
        <v>27400</v>
      </c>
      <c r="V93" s="75"/>
      <c r="W93" s="75"/>
      <c r="X93" s="75"/>
      <c r="Y93" s="75"/>
      <c r="Z93" s="75"/>
      <c r="AA93" s="75"/>
      <c r="AB93" s="75"/>
      <c r="AC93" s="75">
        <f>$AY$2+6900+300</f>
        <v>27700</v>
      </c>
      <c r="AD93" s="75"/>
      <c r="AE93" s="75"/>
      <c r="AF93" s="75"/>
      <c r="AG93" s="75"/>
      <c r="AH93" s="75"/>
      <c r="AI93" s="75"/>
      <c r="AJ93" s="75"/>
      <c r="AK93" s="75">
        <f>$AY$2+6900+600</f>
        <v>28000</v>
      </c>
      <c r="AL93" s="75"/>
      <c r="AM93" s="75"/>
      <c r="AN93" s="75"/>
      <c r="AO93" s="75"/>
      <c r="AP93" s="75"/>
      <c r="AQ93" s="75"/>
      <c r="AR93" s="75"/>
      <c r="AS93" s="75">
        <f>$AY$2+6900+900</f>
        <v>28300</v>
      </c>
      <c r="AT93" s="75"/>
      <c r="AU93" s="75"/>
      <c r="AV93" s="75"/>
      <c r="AW93" s="75"/>
      <c r="AX93" s="75"/>
      <c r="AY93" s="75"/>
      <c r="AZ93" s="75"/>
      <c r="BA93" s="75">
        <f>$AY$2+6900+1200</f>
        <v>28600</v>
      </c>
      <c r="BB93" s="75"/>
      <c r="BC93" s="75"/>
      <c r="BD93" s="75"/>
      <c r="BE93" s="75"/>
      <c r="BF93" s="75"/>
      <c r="BG93" s="75"/>
      <c r="BH93" s="99"/>
    </row>
    <row r="94" spans="1:62" x14ac:dyDescent="0.15">
      <c r="A94" s="3"/>
      <c r="B94" s="3"/>
      <c r="H94" s="100">
        <v>48</v>
      </c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3">
        <f>$AY$2+7700</f>
        <v>28200</v>
      </c>
      <c r="V94" s="75"/>
      <c r="W94" s="75"/>
      <c r="X94" s="75"/>
      <c r="Y94" s="75"/>
      <c r="Z94" s="75"/>
      <c r="AA94" s="75"/>
      <c r="AB94" s="75"/>
      <c r="AC94" s="75">
        <f>$AY$2+7700+300</f>
        <v>28500</v>
      </c>
      <c r="AD94" s="75"/>
      <c r="AE94" s="75"/>
      <c r="AF94" s="75"/>
      <c r="AG94" s="75"/>
      <c r="AH94" s="75"/>
      <c r="AI94" s="75"/>
      <c r="AJ94" s="75"/>
      <c r="AK94" s="75">
        <f>$AY$2+7700+600</f>
        <v>28800</v>
      </c>
      <c r="AL94" s="75"/>
      <c r="AM94" s="75"/>
      <c r="AN94" s="75"/>
      <c r="AO94" s="75"/>
      <c r="AP94" s="75"/>
      <c r="AQ94" s="75"/>
      <c r="AR94" s="75"/>
      <c r="AS94" s="75">
        <f>$AY$2+7700+900</f>
        <v>29100</v>
      </c>
      <c r="AT94" s="75"/>
      <c r="AU94" s="75"/>
      <c r="AV94" s="75"/>
      <c r="AW94" s="75"/>
      <c r="AX94" s="75"/>
      <c r="AY94" s="75"/>
      <c r="AZ94" s="75"/>
      <c r="BA94" s="75">
        <f>$AY$2+7700+1200</f>
        <v>29400</v>
      </c>
      <c r="BB94" s="75"/>
      <c r="BC94" s="75"/>
      <c r="BD94" s="75"/>
      <c r="BE94" s="75"/>
      <c r="BF94" s="75"/>
      <c r="BG94" s="75"/>
      <c r="BH94" s="99"/>
    </row>
    <row r="95" spans="1:62" x14ac:dyDescent="0.15">
      <c r="A95" s="3"/>
      <c r="B95" s="3"/>
      <c r="H95" s="100">
        <v>51</v>
      </c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3">
        <f>$AY$2+8800</f>
        <v>29300</v>
      </c>
      <c r="V95" s="75"/>
      <c r="W95" s="75"/>
      <c r="X95" s="75"/>
      <c r="Y95" s="75"/>
      <c r="Z95" s="75"/>
      <c r="AA95" s="75"/>
      <c r="AB95" s="75"/>
      <c r="AC95" s="75">
        <f>$AY$2+8800+300</f>
        <v>29600</v>
      </c>
      <c r="AD95" s="75"/>
      <c r="AE95" s="75"/>
      <c r="AF95" s="75"/>
      <c r="AG95" s="75"/>
      <c r="AH95" s="75"/>
      <c r="AI95" s="75"/>
      <c r="AJ95" s="75"/>
      <c r="AK95" s="75">
        <f>$AY$2+8800+600</f>
        <v>29900</v>
      </c>
      <c r="AL95" s="75"/>
      <c r="AM95" s="75"/>
      <c r="AN95" s="75"/>
      <c r="AO95" s="75"/>
      <c r="AP95" s="75"/>
      <c r="AQ95" s="75"/>
      <c r="AR95" s="75"/>
      <c r="AS95" s="75">
        <f>$AY$2+8800+900</f>
        <v>30200</v>
      </c>
      <c r="AT95" s="75"/>
      <c r="AU95" s="75"/>
      <c r="AV95" s="75"/>
      <c r="AW95" s="75"/>
      <c r="AX95" s="75"/>
      <c r="AY95" s="75"/>
      <c r="AZ95" s="75"/>
      <c r="BA95" s="75">
        <f>$AY$2+8800+1200</f>
        <v>30500</v>
      </c>
      <c r="BB95" s="75"/>
      <c r="BC95" s="75"/>
      <c r="BD95" s="75"/>
      <c r="BE95" s="75"/>
      <c r="BF95" s="75"/>
      <c r="BG95" s="75"/>
      <c r="BH95" s="99"/>
    </row>
    <row r="96" spans="1:62" x14ac:dyDescent="0.15">
      <c r="A96" s="3"/>
      <c r="B96" s="1"/>
      <c r="H96" s="100">
        <v>54</v>
      </c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3">
        <f>$AY$2+9800</f>
        <v>30300</v>
      </c>
      <c r="V96" s="75"/>
      <c r="W96" s="75"/>
      <c r="X96" s="75"/>
      <c r="Y96" s="75"/>
      <c r="Z96" s="75"/>
      <c r="AA96" s="75"/>
      <c r="AB96" s="75"/>
      <c r="AC96" s="75">
        <f>$AY$2+9800+300</f>
        <v>30600</v>
      </c>
      <c r="AD96" s="75"/>
      <c r="AE96" s="75"/>
      <c r="AF96" s="75"/>
      <c r="AG96" s="75"/>
      <c r="AH96" s="75"/>
      <c r="AI96" s="75"/>
      <c r="AJ96" s="75"/>
      <c r="AK96" s="75">
        <f>$AY$2+9800+600</f>
        <v>30900</v>
      </c>
      <c r="AL96" s="75"/>
      <c r="AM96" s="75"/>
      <c r="AN96" s="75"/>
      <c r="AO96" s="75"/>
      <c r="AP96" s="75"/>
      <c r="AQ96" s="75"/>
      <c r="AR96" s="75"/>
      <c r="AS96" s="75">
        <f>$AY$2+9800+900</f>
        <v>31200</v>
      </c>
      <c r="AT96" s="75"/>
      <c r="AU96" s="75"/>
      <c r="AV96" s="75"/>
      <c r="AW96" s="75"/>
      <c r="AX96" s="75"/>
      <c r="AY96" s="75"/>
      <c r="AZ96" s="75"/>
      <c r="BA96" s="75">
        <f>$AY$2+9800+1200</f>
        <v>31500</v>
      </c>
      <c r="BB96" s="75"/>
      <c r="BC96" s="75"/>
      <c r="BD96" s="75"/>
      <c r="BE96" s="75"/>
      <c r="BF96" s="75"/>
      <c r="BG96" s="75"/>
      <c r="BH96" s="99"/>
    </row>
    <row r="97" spans="1:60" x14ac:dyDescent="0.15">
      <c r="A97" s="3"/>
      <c r="B97" s="3"/>
      <c r="H97" s="100">
        <v>57</v>
      </c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3">
        <f>$AY$2+10800</f>
        <v>31300</v>
      </c>
      <c r="V97" s="75"/>
      <c r="W97" s="75"/>
      <c r="X97" s="75"/>
      <c r="Y97" s="75"/>
      <c r="Z97" s="75"/>
      <c r="AA97" s="75"/>
      <c r="AB97" s="75"/>
      <c r="AC97" s="75">
        <f>$AY$2+10800+300</f>
        <v>31600</v>
      </c>
      <c r="AD97" s="75"/>
      <c r="AE97" s="75"/>
      <c r="AF97" s="75"/>
      <c r="AG97" s="75"/>
      <c r="AH97" s="75"/>
      <c r="AI97" s="75"/>
      <c r="AJ97" s="75"/>
      <c r="AK97" s="75">
        <f>$AY$2+10800+600</f>
        <v>31900</v>
      </c>
      <c r="AL97" s="75"/>
      <c r="AM97" s="75"/>
      <c r="AN97" s="75"/>
      <c r="AO97" s="75"/>
      <c r="AP97" s="75"/>
      <c r="AQ97" s="75"/>
      <c r="AR97" s="75"/>
      <c r="AS97" s="75">
        <f>$AY$2+10800+900</f>
        <v>32200</v>
      </c>
      <c r="AT97" s="75"/>
      <c r="AU97" s="75"/>
      <c r="AV97" s="75"/>
      <c r="AW97" s="75"/>
      <c r="AX97" s="75"/>
      <c r="AY97" s="75"/>
      <c r="AZ97" s="75"/>
      <c r="BA97" s="75">
        <f>$AY$2+10800+1200</f>
        <v>32500</v>
      </c>
      <c r="BB97" s="75"/>
      <c r="BC97" s="75"/>
      <c r="BD97" s="75"/>
      <c r="BE97" s="75"/>
      <c r="BF97" s="75"/>
      <c r="BG97" s="75"/>
      <c r="BH97" s="99"/>
    </row>
    <row r="98" spans="1:60" x14ac:dyDescent="0.15">
      <c r="A98" s="3"/>
      <c r="B98" s="3"/>
      <c r="H98" s="110">
        <v>60</v>
      </c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2"/>
      <c r="U98" s="113">
        <f>$AY$2+11600</f>
        <v>32100</v>
      </c>
      <c r="V98" s="91"/>
      <c r="W98" s="91"/>
      <c r="X98" s="91"/>
      <c r="Y98" s="91"/>
      <c r="Z98" s="91"/>
      <c r="AA98" s="91"/>
      <c r="AB98" s="91"/>
      <c r="AC98" s="91">
        <f>$AY$2+11600+300</f>
        <v>32400</v>
      </c>
      <c r="AD98" s="91"/>
      <c r="AE98" s="91"/>
      <c r="AF98" s="91"/>
      <c r="AG98" s="91"/>
      <c r="AH98" s="91"/>
      <c r="AI98" s="91"/>
      <c r="AJ98" s="91"/>
      <c r="AK98" s="91">
        <f>$AY$2+11600+600</f>
        <v>32700</v>
      </c>
      <c r="AL98" s="91"/>
      <c r="AM98" s="91"/>
      <c r="AN98" s="91"/>
      <c r="AO98" s="91"/>
      <c r="AP98" s="91"/>
      <c r="AQ98" s="91"/>
      <c r="AR98" s="91"/>
      <c r="AS98" s="91">
        <f>$AY$2+11600+900</f>
        <v>33000</v>
      </c>
      <c r="AT98" s="91"/>
      <c r="AU98" s="91"/>
      <c r="AV98" s="91"/>
      <c r="AW98" s="91"/>
      <c r="AX98" s="91"/>
      <c r="AY98" s="91"/>
      <c r="AZ98" s="91"/>
      <c r="BA98" s="91">
        <f>$AY$2+11600+1200</f>
        <v>33300</v>
      </c>
      <c r="BB98" s="91"/>
      <c r="BC98" s="91"/>
      <c r="BD98" s="91"/>
      <c r="BE98" s="91"/>
      <c r="BF98" s="91"/>
      <c r="BG98" s="91"/>
      <c r="BH98" s="114"/>
    </row>
    <row r="99" spans="1:60" x14ac:dyDescent="0.15">
      <c r="A99" s="3"/>
      <c r="B99" s="3"/>
    </row>
    <row r="100" spans="1:60" ht="13.5" customHeight="1" x14ac:dyDescent="0.15">
      <c r="A100" s="3"/>
      <c r="B100" s="3"/>
      <c r="H100" s="67" t="s">
        <v>40</v>
      </c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</row>
    <row r="101" spans="1:60" ht="13.5" customHeight="1" x14ac:dyDescent="0.15">
      <c r="A101" s="3"/>
      <c r="B101" s="3"/>
      <c r="H101" s="67" t="s">
        <v>30</v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</row>
    <row r="102" spans="1:60" ht="13.5" customHeight="1" x14ac:dyDescent="0.15">
      <c r="A102" s="3"/>
      <c r="B102" s="3"/>
      <c r="H102" s="109" t="s">
        <v>38</v>
      </c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95" t="s">
        <v>31</v>
      </c>
      <c r="V102" s="96"/>
      <c r="W102" s="96"/>
      <c r="X102" s="96"/>
      <c r="Y102" s="96"/>
      <c r="Z102" s="96"/>
      <c r="AA102" s="96"/>
      <c r="AB102" s="96"/>
      <c r="AC102" s="79" t="s">
        <v>32</v>
      </c>
      <c r="AD102" s="79"/>
      <c r="AE102" s="79"/>
      <c r="AF102" s="79"/>
      <c r="AG102" s="79"/>
      <c r="AH102" s="79"/>
      <c r="AI102" s="79"/>
      <c r="AJ102" s="79"/>
      <c r="AK102" s="79" t="s">
        <v>32</v>
      </c>
      <c r="AL102" s="79"/>
      <c r="AM102" s="79"/>
      <c r="AN102" s="79"/>
      <c r="AO102" s="79"/>
      <c r="AP102" s="79"/>
      <c r="AQ102" s="79"/>
      <c r="AR102" s="79"/>
      <c r="AS102" s="79" t="s">
        <v>32</v>
      </c>
      <c r="AT102" s="79"/>
      <c r="AU102" s="79"/>
      <c r="AV102" s="79"/>
      <c r="AW102" s="79"/>
      <c r="AX102" s="79"/>
      <c r="AY102" s="79"/>
      <c r="AZ102" s="79"/>
      <c r="BA102" s="79" t="s">
        <v>32</v>
      </c>
      <c r="BB102" s="79"/>
      <c r="BC102" s="79"/>
      <c r="BD102" s="79"/>
      <c r="BE102" s="79"/>
      <c r="BF102" s="79"/>
      <c r="BG102" s="79"/>
      <c r="BH102" s="80"/>
    </row>
    <row r="103" spans="1:60" ht="13.5" customHeight="1" x14ac:dyDescent="0.15">
      <c r="A103" s="3"/>
      <c r="B103" s="3"/>
      <c r="H103" s="116" t="s">
        <v>39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95" t="s">
        <v>33</v>
      </c>
      <c r="V103" s="96"/>
      <c r="W103" s="96"/>
      <c r="X103" s="96"/>
      <c r="Y103" s="96"/>
      <c r="Z103" s="96"/>
      <c r="AA103" s="96"/>
      <c r="AB103" s="96"/>
      <c r="AC103" s="79" t="s">
        <v>34</v>
      </c>
      <c r="AD103" s="79"/>
      <c r="AE103" s="79"/>
      <c r="AF103" s="79"/>
      <c r="AG103" s="79"/>
      <c r="AH103" s="79"/>
      <c r="AI103" s="79"/>
      <c r="AJ103" s="79"/>
      <c r="AK103" s="79" t="s">
        <v>35</v>
      </c>
      <c r="AL103" s="79"/>
      <c r="AM103" s="79"/>
      <c r="AN103" s="79"/>
      <c r="AO103" s="79"/>
      <c r="AP103" s="79"/>
      <c r="AQ103" s="79"/>
      <c r="AR103" s="79"/>
      <c r="AS103" s="79" t="s">
        <v>36</v>
      </c>
      <c r="AT103" s="79"/>
      <c r="AU103" s="79"/>
      <c r="AV103" s="79"/>
      <c r="AW103" s="79"/>
      <c r="AX103" s="79"/>
      <c r="AY103" s="79"/>
      <c r="AZ103" s="79"/>
      <c r="BA103" s="79" t="s">
        <v>37</v>
      </c>
      <c r="BB103" s="79"/>
      <c r="BC103" s="79"/>
      <c r="BD103" s="79"/>
      <c r="BE103" s="79"/>
      <c r="BF103" s="79"/>
      <c r="BG103" s="79"/>
      <c r="BH103" s="80"/>
    </row>
    <row r="104" spans="1:60" ht="14.25" customHeight="1" x14ac:dyDescent="0.15">
      <c r="A104" s="3"/>
      <c r="B104" s="3"/>
      <c r="H104" s="115">
        <v>39</v>
      </c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60">
        <f>$AY$2+7300</f>
        <v>27800</v>
      </c>
      <c r="V104" s="61"/>
      <c r="W104" s="61"/>
      <c r="X104" s="61"/>
      <c r="Y104" s="61"/>
      <c r="Z104" s="61"/>
      <c r="AA104" s="61"/>
      <c r="AB104" s="61"/>
      <c r="AC104" s="61">
        <f>$AY$2+7300+300</f>
        <v>28100</v>
      </c>
      <c r="AD104" s="61"/>
      <c r="AE104" s="61"/>
      <c r="AF104" s="61"/>
      <c r="AG104" s="61"/>
      <c r="AH104" s="61"/>
      <c r="AI104" s="61"/>
      <c r="AJ104" s="61"/>
      <c r="AK104" s="61">
        <f>$AY$2+7300+600</f>
        <v>28400</v>
      </c>
      <c r="AL104" s="61"/>
      <c r="AM104" s="61"/>
      <c r="AN104" s="61"/>
      <c r="AO104" s="61"/>
      <c r="AP104" s="61"/>
      <c r="AQ104" s="61"/>
      <c r="AR104" s="61"/>
      <c r="AS104" s="61">
        <f>$AY$2+7300+900</f>
        <v>28700</v>
      </c>
      <c r="AT104" s="61"/>
      <c r="AU104" s="61"/>
      <c r="AV104" s="61"/>
      <c r="AW104" s="61"/>
      <c r="AX104" s="61"/>
      <c r="AY104" s="61"/>
      <c r="AZ104" s="61"/>
      <c r="BA104" s="61">
        <f>$AY$2+7300+1200</f>
        <v>29000</v>
      </c>
      <c r="BB104" s="61"/>
      <c r="BC104" s="61"/>
      <c r="BD104" s="61"/>
      <c r="BE104" s="61"/>
      <c r="BF104" s="61"/>
      <c r="BG104" s="61"/>
      <c r="BH104" s="105"/>
    </row>
    <row r="105" spans="1:60" x14ac:dyDescent="0.15">
      <c r="A105" s="3"/>
      <c r="B105" s="3"/>
      <c r="H105" s="117">
        <v>42</v>
      </c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74">
        <f>$AY$2+7900</f>
        <v>28400</v>
      </c>
      <c r="V105" s="75"/>
      <c r="W105" s="75"/>
      <c r="X105" s="75"/>
      <c r="Y105" s="75"/>
      <c r="Z105" s="75"/>
      <c r="AA105" s="75"/>
      <c r="AB105" s="75"/>
      <c r="AC105" s="75">
        <f>$AY$2+7900+300</f>
        <v>28700</v>
      </c>
      <c r="AD105" s="75"/>
      <c r="AE105" s="75"/>
      <c r="AF105" s="75"/>
      <c r="AG105" s="75"/>
      <c r="AH105" s="75"/>
      <c r="AI105" s="75"/>
      <c r="AJ105" s="75"/>
      <c r="AK105" s="75">
        <f>$AY$2+7900+600</f>
        <v>29000</v>
      </c>
      <c r="AL105" s="75"/>
      <c r="AM105" s="75"/>
      <c r="AN105" s="75"/>
      <c r="AO105" s="75"/>
      <c r="AP105" s="75"/>
      <c r="AQ105" s="75"/>
      <c r="AR105" s="75"/>
      <c r="AS105" s="75">
        <f>$AY$2+7900+900</f>
        <v>29300</v>
      </c>
      <c r="AT105" s="75"/>
      <c r="AU105" s="75"/>
      <c r="AV105" s="75"/>
      <c r="AW105" s="75"/>
      <c r="AX105" s="75"/>
      <c r="AY105" s="75"/>
      <c r="AZ105" s="75"/>
      <c r="BA105" s="75">
        <f>$AY$2+7900+1200</f>
        <v>29600</v>
      </c>
      <c r="BB105" s="75"/>
      <c r="BC105" s="75"/>
      <c r="BD105" s="75"/>
      <c r="BE105" s="75"/>
      <c r="BF105" s="75"/>
      <c r="BG105" s="75"/>
      <c r="BH105" s="99"/>
    </row>
    <row r="106" spans="1:60" x14ac:dyDescent="0.15">
      <c r="A106" s="3"/>
      <c r="B106" s="3"/>
      <c r="H106" s="117">
        <v>45</v>
      </c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74">
        <f>$AY$2+8300</f>
        <v>28800</v>
      </c>
      <c r="V106" s="75"/>
      <c r="W106" s="75"/>
      <c r="X106" s="75"/>
      <c r="Y106" s="75"/>
      <c r="Z106" s="75"/>
      <c r="AA106" s="75"/>
      <c r="AB106" s="75"/>
      <c r="AC106" s="75">
        <f>$AY$2+8300+300</f>
        <v>29100</v>
      </c>
      <c r="AD106" s="75"/>
      <c r="AE106" s="75"/>
      <c r="AF106" s="75"/>
      <c r="AG106" s="75"/>
      <c r="AH106" s="75"/>
      <c r="AI106" s="75"/>
      <c r="AJ106" s="75"/>
      <c r="AK106" s="75">
        <f>$AY$2+8300+600</f>
        <v>29400</v>
      </c>
      <c r="AL106" s="75"/>
      <c r="AM106" s="75"/>
      <c r="AN106" s="75"/>
      <c r="AO106" s="75"/>
      <c r="AP106" s="75"/>
      <c r="AQ106" s="75"/>
      <c r="AR106" s="75"/>
      <c r="AS106" s="75">
        <f>$AY$2+8300+900</f>
        <v>29700</v>
      </c>
      <c r="AT106" s="75"/>
      <c r="AU106" s="75"/>
      <c r="AV106" s="75"/>
      <c r="AW106" s="75"/>
      <c r="AX106" s="75"/>
      <c r="AY106" s="75"/>
      <c r="AZ106" s="75"/>
      <c r="BA106" s="75">
        <f>$AY$2+8300+1200</f>
        <v>30000</v>
      </c>
      <c r="BB106" s="75"/>
      <c r="BC106" s="75"/>
      <c r="BD106" s="75"/>
      <c r="BE106" s="75"/>
      <c r="BF106" s="75"/>
      <c r="BG106" s="75"/>
      <c r="BH106" s="99"/>
    </row>
    <row r="107" spans="1:60" x14ac:dyDescent="0.15">
      <c r="A107" s="3"/>
      <c r="B107" s="3"/>
      <c r="H107" s="117">
        <v>48</v>
      </c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74">
        <f>$AY$2+8700</f>
        <v>29200</v>
      </c>
      <c r="V107" s="75"/>
      <c r="W107" s="75"/>
      <c r="X107" s="75"/>
      <c r="Y107" s="75"/>
      <c r="Z107" s="75"/>
      <c r="AA107" s="75"/>
      <c r="AB107" s="75"/>
      <c r="AC107" s="75">
        <f>$AY$2+8700+300</f>
        <v>29500</v>
      </c>
      <c r="AD107" s="75"/>
      <c r="AE107" s="75"/>
      <c r="AF107" s="75"/>
      <c r="AG107" s="75"/>
      <c r="AH107" s="75"/>
      <c r="AI107" s="75"/>
      <c r="AJ107" s="75"/>
      <c r="AK107" s="75">
        <f>$AY$2+8700+600</f>
        <v>29800</v>
      </c>
      <c r="AL107" s="75"/>
      <c r="AM107" s="75"/>
      <c r="AN107" s="75"/>
      <c r="AO107" s="75"/>
      <c r="AP107" s="75"/>
      <c r="AQ107" s="75"/>
      <c r="AR107" s="75"/>
      <c r="AS107" s="75">
        <f>$AY$2+8700+900</f>
        <v>30100</v>
      </c>
      <c r="AT107" s="75"/>
      <c r="AU107" s="75"/>
      <c r="AV107" s="75"/>
      <c r="AW107" s="75"/>
      <c r="AX107" s="75"/>
      <c r="AY107" s="75"/>
      <c r="AZ107" s="75"/>
      <c r="BA107" s="75">
        <f>$AY$2+8700+1200</f>
        <v>30400</v>
      </c>
      <c r="BB107" s="75"/>
      <c r="BC107" s="75"/>
      <c r="BD107" s="75"/>
      <c r="BE107" s="75"/>
      <c r="BF107" s="75"/>
      <c r="BG107" s="75"/>
      <c r="BH107" s="99"/>
    </row>
    <row r="108" spans="1:60" x14ac:dyDescent="0.15">
      <c r="A108" s="3"/>
      <c r="B108" s="3"/>
      <c r="H108" s="117">
        <v>51</v>
      </c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74">
        <f>$AY$2+9800</f>
        <v>30300</v>
      </c>
      <c r="V108" s="75"/>
      <c r="W108" s="75"/>
      <c r="X108" s="75"/>
      <c r="Y108" s="75"/>
      <c r="Z108" s="75"/>
      <c r="AA108" s="75"/>
      <c r="AB108" s="75"/>
      <c r="AC108" s="75">
        <f>$AY$2+9800+250</f>
        <v>30550</v>
      </c>
      <c r="AD108" s="75"/>
      <c r="AE108" s="75"/>
      <c r="AF108" s="75"/>
      <c r="AG108" s="75"/>
      <c r="AH108" s="75"/>
      <c r="AI108" s="75"/>
      <c r="AJ108" s="75"/>
      <c r="AK108" s="75">
        <f>$AY$2+9800+500</f>
        <v>30800</v>
      </c>
      <c r="AL108" s="75"/>
      <c r="AM108" s="75"/>
      <c r="AN108" s="75"/>
      <c r="AO108" s="75"/>
      <c r="AP108" s="75"/>
      <c r="AQ108" s="75"/>
      <c r="AR108" s="75"/>
      <c r="AS108" s="75">
        <f>$AY$2+9800+750</f>
        <v>31050</v>
      </c>
      <c r="AT108" s="75"/>
      <c r="AU108" s="75"/>
      <c r="AV108" s="75"/>
      <c r="AW108" s="75"/>
      <c r="AX108" s="75"/>
      <c r="AY108" s="75"/>
      <c r="AZ108" s="75"/>
      <c r="BA108" s="75">
        <f>$AY$2+9800+1000</f>
        <v>31300</v>
      </c>
      <c r="BB108" s="75"/>
      <c r="BC108" s="75"/>
      <c r="BD108" s="75"/>
      <c r="BE108" s="75"/>
      <c r="BF108" s="75"/>
      <c r="BG108" s="75"/>
      <c r="BH108" s="99"/>
    </row>
    <row r="109" spans="1:60" x14ac:dyDescent="0.15">
      <c r="A109" s="3"/>
      <c r="B109" s="3"/>
      <c r="H109" s="117">
        <v>54</v>
      </c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74">
        <f>$AY$2+10800</f>
        <v>31300</v>
      </c>
      <c r="V109" s="75"/>
      <c r="W109" s="75"/>
      <c r="X109" s="75"/>
      <c r="Y109" s="75"/>
      <c r="Z109" s="75"/>
      <c r="AA109" s="75"/>
      <c r="AB109" s="75"/>
      <c r="AC109" s="75">
        <f>$AY$2+10800+300</f>
        <v>31600</v>
      </c>
      <c r="AD109" s="75"/>
      <c r="AE109" s="75"/>
      <c r="AF109" s="75"/>
      <c r="AG109" s="75"/>
      <c r="AH109" s="75"/>
      <c r="AI109" s="75"/>
      <c r="AJ109" s="75"/>
      <c r="AK109" s="75">
        <f>$AY$2+10800+600</f>
        <v>31900</v>
      </c>
      <c r="AL109" s="75"/>
      <c r="AM109" s="75"/>
      <c r="AN109" s="75"/>
      <c r="AO109" s="75"/>
      <c r="AP109" s="75"/>
      <c r="AQ109" s="75"/>
      <c r="AR109" s="75"/>
      <c r="AS109" s="75">
        <f>$AY$2+10800+900</f>
        <v>32200</v>
      </c>
      <c r="AT109" s="75"/>
      <c r="AU109" s="75"/>
      <c r="AV109" s="75"/>
      <c r="AW109" s="75"/>
      <c r="AX109" s="75"/>
      <c r="AY109" s="75"/>
      <c r="AZ109" s="75"/>
      <c r="BA109" s="75">
        <f>$AY$2+10800+1200</f>
        <v>32500</v>
      </c>
      <c r="BB109" s="75"/>
      <c r="BC109" s="75"/>
      <c r="BD109" s="75"/>
      <c r="BE109" s="75"/>
      <c r="BF109" s="75"/>
      <c r="BG109" s="75"/>
      <c r="BH109" s="99"/>
    </row>
    <row r="110" spans="1:60" x14ac:dyDescent="0.15">
      <c r="A110" s="3"/>
      <c r="B110" s="3"/>
      <c r="H110" s="117">
        <v>57</v>
      </c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74">
        <f>$AY$2+11800</f>
        <v>32300</v>
      </c>
      <c r="V110" s="75"/>
      <c r="W110" s="75"/>
      <c r="X110" s="75"/>
      <c r="Y110" s="75"/>
      <c r="Z110" s="75"/>
      <c r="AA110" s="75"/>
      <c r="AB110" s="75"/>
      <c r="AC110" s="75">
        <f>$AY$2+11800+300</f>
        <v>32600</v>
      </c>
      <c r="AD110" s="75"/>
      <c r="AE110" s="75"/>
      <c r="AF110" s="75"/>
      <c r="AG110" s="75"/>
      <c r="AH110" s="75"/>
      <c r="AI110" s="75"/>
      <c r="AJ110" s="75"/>
      <c r="AK110" s="75">
        <f>$AY$2+11800+600</f>
        <v>32900</v>
      </c>
      <c r="AL110" s="75"/>
      <c r="AM110" s="75"/>
      <c r="AN110" s="75"/>
      <c r="AO110" s="75"/>
      <c r="AP110" s="75"/>
      <c r="AQ110" s="75"/>
      <c r="AR110" s="75"/>
      <c r="AS110" s="75">
        <f>$AY$2+11800+900</f>
        <v>33200</v>
      </c>
      <c r="AT110" s="75"/>
      <c r="AU110" s="75"/>
      <c r="AV110" s="75"/>
      <c r="AW110" s="75"/>
      <c r="AX110" s="75"/>
      <c r="AY110" s="75"/>
      <c r="AZ110" s="75"/>
      <c r="BA110" s="75">
        <f>$AY$2+11800+1200</f>
        <v>33500</v>
      </c>
      <c r="BB110" s="75"/>
      <c r="BC110" s="75"/>
      <c r="BD110" s="75"/>
      <c r="BE110" s="75"/>
      <c r="BF110" s="75"/>
      <c r="BG110" s="75"/>
      <c r="BH110" s="99"/>
    </row>
    <row r="111" spans="1:60" x14ac:dyDescent="0.15">
      <c r="A111" s="3"/>
      <c r="B111" s="3"/>
      <c r="H111" s="121">
        <v>60</v>
      </c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90">
        <f>$AY$2+13000</f>
        <v>33500</v>
      </c>
      <c r="V111" s="91"/>
      <c r="W111" s="91"/>
      <c r="X111" s="91"/>
      <c r="Y111" s="91"/>
      <c r="Z111" s="91"/>
      <c r="AA111" s="91"/>
      <c r="AB111" s="91"/>
      <c r="AC111" s="91">
        <f>$AY$2+13000+300</f>
        <v>33800</v>
      </c>
      <c r="AD111" s="91"/>
      <c r="AE111" s="91"/>
      <c r="AF111" s="91"/>
      <c r="AG111" s="91"/>
      <c r="AH111" s="91"/>
      <c r="AI111" s="91"/>
      <c r="AJ111" s="91"/>
      <c r="AK111" s="91">
        <f>$AY$2+13000+600</f>
        <v>34100</v>
      </c>
      <c r="AL111" s="91"/>
      <c r="AM111" s="91"/>
      <c r="AN111" s="91"/>
      <c r="AO111" s="91"/>
      <c r="AP111" s="91"/>
      <c r="AQ111" s="91"/>
      <c r="AR111" s="91"/>
      <c r="AS111" s="91">
        <f>$AY$2+13000+900</f>
        <v>34400</v>
      </c>
      <c r="AT111" s="91"/>
      <c r="AU111" s="91"/>
      <c r="AV111" s="91"/>
      <c r="AW111" s="91"/>
      <c r="AX111" s="91"/>
      <c r="AY111" s="91"/>
      <c r="AZ111" s="91"/>
      <c r="BA111" s="91">
        <f>$AY$2+13000+1200</f>
        <v>34700</v>
      </c>
      <c r="BB111" s="91"/>
      <c r="BC111" s="91"/>
      <c r="BD111" s="91"/>
      <c r="BE111" s="91"/>
      <c r="BF111" s="91"/>
      <c r="BG111" s="91"/>
      <c r="BH111" s="114"/>
    </row>
    <row r="112" spans="1:60" x14ac:dyDescent="0.15">
      <c r="A112" s="3"/>
      <c r="B112" s="3"/>
    </row>
    <row r="113" spans="1:60" x14ac:dyDescent="0.15">
      <c r="A113" s="3"/>
      <c r="B113" s="3"/>
      <c r="G113" t="s">
        <v>77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60" x14ac:dyDescent="0.15">
      <c r="A114" s="3"/>
      <c r="B114" s="3"/>
      <c r="G114" s="9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19" t="s">
        <v>76</v>
      </c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96" t="s">
        <v>48</v>
      </c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 t="s">
        <v>49</v>
      </c>
      <c r="AR114" s="96"/>
      <c r="AS114" s="96"/>
      <c r="AT114" s="96"/>
      <c r="AU114" s="96"/>
      <c r="AV114" s="96"/>
      <c r="AW114" s="96"/>
      <c r="AX114" s="96"/>
      <c r="AY114" s="96"/>
      <c r="AZ114" s="96"/>
      <c r="BA114" s="118"/>
    </row>
    <row r="115" spans="1:60" x14ac:dyDescent="0.15">
      <c r="A115" s="3"/>
      <c r="B115" s="3"/>
      <c r="H115" s="125" t="s">
        <v>89</v>
      </c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60">
        <f>$AY$2</f>
        <v>20500</v>
      </c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 t="s">
        <v>53</v>
      </c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 t="s">
        <v>53</v>
      </c>
      <c r="AR115" s="61"/>
      <c r="AS115" s="61"/>
      <c r="AT115" s="61"/>
      <c r="AU115" s="61"/>
      <c r="AV115" s="61"/>
      <c r="AW115" s="61"/>
      <c r="AX115" s="61"/>
      <c r="AY115" s="61"/>
      <c r="AZ115" s="61"/>
      <c r="BA115" s="105"/>
    </row>
    <row r="116" spans="1:60" ht="13.5" customHeight="1" x14ac:dyDescent="0.15">
      <c r="A116" s="3"/>
      <c r="B116" s="3"/>
      <c r="H116" s="123" t="s">
        <v>90</v>
      </c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74">
        <f>$AY$2+11200</f>
        <v>31700</v>
      </c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>
        <f>$AY$2+11200+1800</f>
        <v>33500</v>
      </c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>
        <f>$AY$2+11200+3700</f>
        <v>35400</v>
      </c>
      <c r="AR116" s="75"/>
      <c r="AS116" s="75"/>
      <c r="AT116" s="75"/>
      <c r="AU116" s="75"/>
      <c r="AV116" s="75"/>
      <c r="AW116" s="75"/>
      <c r="AX116" s="75"/>
      <c r="AY116" s="75"/>
      <c r="AZ116" s="75"/>
      <c r="BA116" s="99"/>
    </row>
    <row r="117" spans="1:60" ht="13.5" customHeight="1" x14ac:dyDescent="0.15">
      <c r="A117" s="3"/>
      <c r="B117" s="3"/>
      <c r="H117" s="123" t="s">
        <v>41</v>
      </c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74">
        <f>$AY$2+5600</f>
        <v>26100</v>
      </c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>
        <f>$AY$2+5600+1100</f>
        <v>27200</v>
      </c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>
        <f>$AY$2+5600+3100</f>
        <v>29200</v>
      </c>
      <c r="AR117" s="75"/>
      <c r="AS117" s="75"/>
      <c r="AT117" s="75"/>
      <c r="AU117" s="75"/>
      <c r="AV117" s="75"/>
      <c r="AW117" s="75"/>
      <c r="AX117" s="75"/>
      <c r="AY117" s="75"/>
      <c r="AZ117" s="75"/>
      <c r="BA117" s="99"/>
    </row>
    <row r="118" spans="1:60" ht="14.25" customHeight="1" x14ac:dyDescent="0.15">
      <c r="A118" s="3"/>
      <c r="B118" s="3"/>
      <c r="H118" s="117" t="s">
        <v>42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74">
        <f>$AY$2+4600</f>
        <v>25100</v>
      </c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>
        <f>$AY$2+4600+1000</f>
        <v>26100</v>
      </c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>
        <f>$AY$2+4600+2900</f>
        <v>28000</v>
      </c>
      <c r="AR118" s="75"/>
      <c r="AS118" s="75"/>
      <c r="AT118" s="75"/>
      <c r="AU118" s="75"/>
      <c r="AV118" s="75"/>
      <c r="AW118" s="75"/>
      <c r="AX118" s="75"/>
      <c r="AY118" s="75"/>
      <c r="AZ118" s="75"/>
      <c r="BA118" s="99"/>
    </row>
    <row r="119" spans="1:60" ht="13.5" customHeight="1" x14ac:dyDescent="0.15">
      <c r="A119" s="3"/>
      <c r="B119" s="3"/>
      <c r="H119" s="123" t="s">
        <v>43</v>
      </c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74">
        <f>$AY$2+3600</f>
        <v>24100</v>
      </c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>
        <f>$AY$2+3600+900</f>
        <v>25000</v>
      </c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>
        <f>$AY$2+3600+2800</f>
        <v>26900</v>
      </c>
      <c r="AR119" s="75"/>
      <c r="AS119" s="75"/>
      <c r="AT119" s="75"/>
      <c r="AU119" s="75"/>
      <c r="AV119" s="75"/>
      <c r="AW119" s="75"/>
      <c r="AX119" s="75"/>
      <c r="AY119" s="75"/>
      <c r="AZ119" s="75"/>
      <c r="BA119" s="99"/>
    </row>
    <row r="120" spans="1:60" ht="13.5" customHeight="1" x14ac:dyDescent="0.15">
      <c r="A120" s="3"/>
      <c r="B120" s="3"/>
      <c r="H120" s="123" t="s">
        <v>44</v>
      </c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99"/>
    </row>
    <row r="121" spans="1:60" ht="13.5" customHeight="1" x14ac:dyDescent="0.15">
      <c r="A121" s="3"/>
      <c r="B121" s="3"/>
      <c r="H121" s="123" t="s">
        <v>45</v>
      </c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74">
        <f>$AY$2+2600</f>
        <v>23100</v>
      </c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>
        <f>$AY$2+2600+700</f>
        <v>23800</v>
      </c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>
        <f>$AY$2+2600+2500</f>
        <v>25600</v>
      </c>
      <c r="AR121" s="75"/>
      <c r="AS121" s="75"/>
      <c r="AT121" s="75"/>
      <c r="AU121" s="75"/>
      <c r="AV121" s="75"/>
      <c r="AW121" s="75"/>
      <c r="AX121" s="75"/>
      <c r="AY121" s="75"/>
      <c r="AZ121" s="75"/>
      <c r="BA121" s="99"/>
    </row>
    <row r="122" spans="1:60" ht="13.5" customHeight="1" x14ac:dyDescent="0.15">
      <c r="A122" s="3"/>
      <c r="B122" s="3"/>
      <c r="H122" s="123" t="s">
        <v>46</v>
      </c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74">
        <f>$AY$2+1700</f>
        <v>22200</v>
      </c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>
        <f>$AY$2+1700+600</f>
        <v>22800</v>
      </c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>
        <f>$AY$2+1700+2400</f>
        <v>24600</v>
      </c>
      <c r="AR122" s="75"/>
      <c r="AS122" s="75"/>
      <c r="AT122" s="75"/>
      <c r="AU122" s="75"/>
      <c r="AV122" s="75"/>
      <c r="AW122" s="75"/>
      <c r="AX122" s="75"/>
      <c r="AY122" s="75"/>
      <c r="AZ122" s="75"/>
      <c r="BA122" s="99"/>
    </row>
    <row r="123" spans="1:60" ht="13.5" customHeight="1" x14ac:dyDescent="0.15">
      <c r="A123" s="3"/>
      <c r="B123" s="3"/>
      <c r="H123" s="124" t="s">
        <v>47</v>
      </c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90">
        <f>$AY$2+1000</f>
        <v>21500</v>
      </c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>
        <f>$AY$2+1000+500</f>
        <v>22000</v>
      </c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>
        <f>$AY$2+1000+2300</f>
        <v>23800</v>
      </c>
      <c r="AR123" s="91"/>
      <c r="AS123" s="91"/>
      <c r="AT123" s="91"/>
      <c r="AU123" s="91"/>
      <c r="AV123" s="91"/>
      <c r="AW123" s="91"/>
      <c r="AX123" s="91"/>
      <c r="AY123" s="91"/>
      <c r="AZ123" s="91"/>
      <c r="BA123" s="114"/>
    </row>
    <row r="124" spans="1:60" ht="13.5" customHeight="1" x14ac:dyDescent="0.15">
      <c r="A124" s="3"/>
      <c r="B124" s="3"/>
    </row>
    <row r="125" spans="1:60" x14ac:dyDescent="0.15">
      <c r="A125" s="3"/>
      <c r="B125" s="3"/>
      <c r="G125" t="s">
        <v>50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60" ht="13.5" customHeight="1" x14ac:dyDescent="0.15">
      <c r="A126" s="3"/>
      <c r="B126" s="1"/>
      <c r="G126" t="s">
        <v>51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60" x14ac:dyDescent="0.15">
      <c r="A127" s="1"/>
      <c r="B127" s="1"/>
      <c r="G127" t="s">
        <v>52</v>
      </c>
    </row>
    <row r="128" spans="1:60" x14ac:dyDescent="0.15">
      <c r="A128" s="1"/>
      <c r="B128" s="1"/>
      <c r="H128" s="126" t="s">
        <v>2</v>
      </c>
      <c r="I128" s="127"/>
      <c r="J128" s="127"/>
      <c r="K128" s="127"/>
      <c r="L128" s="127"/>
      <c r="M128" s="127"/>
      <c r="N128" s="127"/>
      <c r="O128" s="127"/>
      <c r="P128" s="127"/>
      <c r="Q128" s="128"/>
      <c r="R128" s="132" t="s">
        <v>3</v>
      </c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4"/>
    </row>
    <row r="129" spans="1:49" ht="46.5" customHeight="1" x14ac:dyDescent="0.15">
      <c r="A129" s="1"/>
      <c r="B129" s="1"/>
      <c r="H129" s="129"/>
      <c r="I129" s="130"/>
      <c r="J129" s="130"/>
      <c r="K129" s="130"/>
      <c r="L129" s="130"/>
      <c r="M129" s="130"/>
      <c r="N129" s="130"/>
      <c r="O129" s="130"/>
      <c r="P129" s="130"/>
      <c r="Q129" s="131"/>
      <c r="R129" s="135" t="s">
        <v>4</v>
      </c>
      <c r="S129" s="136"/>
      <c r="T129" s="136"/>
      <c r="U129" s="136"/>
      <c r="V129" s="136"/>
      <c r="W129" s="136"/>
      <c r="X129" s="137" t="s">
        <v>78</v>
      </c>
      <c r="Y129" s="137"/>
      <c r="Z129" s="137"/>
      <c r="AA129" s="137"/>
      <c r="AB129" s="137"/>
      <c r="AC129" s="137"/>
      <c r="AD129" s="137"/>
      <c r="AE129" s="137"/>
      <c r="AF129" s="137"/>
      <c r="AG129" s="138"/>
      <c r="AH129" s="135" t="s">
        <v>4</v>
      </c>
      <c r="AI129" s="136"/>
      <c r="AJ129" s="136"/>
      <c r="AK129" s="136"/>
      <c r="AL129" s="136"/>
      <c r="AM129" s="136"/>
      <c r="AN129" s="137" t="s">
        <v>79</v>
      </c>
      <c r="AO129" s="137"/>
      <c r="AP129" s="137"/>
      <c r="AQ129" s="137"/>
      <c r="AR129" s="137"/>
      <c r="AS129" s="137"/>
      <c r="AT129" s="137"/>
      <c r="AU129" s="137"/>
      <c r="AV129" s="137"/>
      <c r="AW129" s="139"/>
    </row>
    <row r="130" spans="1:49" ht="14.25" customHeight="1" x14ac:dyDescent="0.15">
      <c r="A130" s="1"/>
      <c r="B130" s="1"/>
      <c r="H130" s="140">
        <v>65</v>
      </c>
      <c r="I130" s="141"/>
      <c r="J130" s="141"/>
      <c r="K130" s="141"/>
      <c r="L130" s="141"/>
      <c r="M130" s="141"/>
      <c r="N130" s="141"/>
      <c r="O130" s="141"/>
      <c r="P130" s="141"/>
      <c r="Q130" s="142"/>
      <c r="R130" s="143">
        <v>21</v>
      </c>
      <c r="S130" s="144"/>
      <c r="T130" s="144"/>
      <c r="U130" s="144"/>
      <c r="V130" s="144"/>
      <c r="W130" s="144"/>
      <c r="X130" s="145">
        <f>$AY$2+300</f>
        <v>20800</v>
      </c>
      <c r="Y130" s="145"/>
      <c r="Z130" s="145"/>
      <c r="AA130" s="145"/>
      <c r="AB130" s="145"/>
      <c r="AC130" s="145"/>
      <c r="AD130" s="145"/>
      <c r="AE130" s="145"/>
      <c r="AF130" s="145"/>
      <c r="AG130" s="146"/>
      <c r="AH130" s="143" t="s">
        <v>80</v>
      </c>
      <c r="AI130" s="144"/>
      <c r="AJ130" s="144"/>
      <c r="AK130" s="144"/>
      <c r="AL130" s="144"/>
      <c r="AM130" s="144"/>
      <c r="AN130" s="145" t="s">
        <v>82</v>
      </c>
      <c r="AO130" s="145"/>
      <c r="AP130" s="145"/>
      <c r="AQ130" s="145"/>
      <c r="AR130" s="145"/>
      <c r="AS130" s="145"/>
      <c r="AT130" s="145"/>
      <c r="AU130" s="145"/>
      <c r="AV130" s="145"/>
      <c r="AW130" s="147"/>
    </row>
    <row r="131" spans="1:49" x14ac:dyDescent="0.15">
      <c r="A131" s="1"/>
      <c r="B131" s="1"/>
      <c r="H131" s="148">
        <v>60</v>
      </c>
      <c r="I131" s="149"/>
      <c r="J131" s="149"/>
      <c r="K131" s="149"/>
      <c r="L131" s="149"/>
      <c r="M131" s="149"/>
      <c r="N131" s="149"/>
      <c r="O131" s="149"/>
      <c r="P131" s="149"/>
      <c r="Q131" s="150"/>
      <c r="R131" s="151">
        <v>24</v>
      </c>
      <c r="S131" s="152"/>
      <c r="T131" s="152"/>
      <c r="U131" s="152"/>
      <c r="V131" s="152"/>
      <c r="W131" s="152"/>
      <c r="X131" s="153">
        <f>$AY$2+600</f>
        <v>21100</v>
      </c>
      <c r="Y131" s="153"/>
      <c r="Z131" s="153"/>
      <c r="AA131" s="153"/>
      <c r="AB131" s="153"/>
      <c r="AC131" s="153"/>
      <c r="AD131" s="153"/>
      <c r="AE131" s="153"/>
      <c r="AF131" s="153"/>
      <c r="AG131" s="154"/>
      <c r="AH131" s="151" t="s">
        <v>81</v>
      </c>
      <c r="AI131" s="152"/>
      <c r="AJ131" s="152"/>
      <c r="AK131" s="152"/>
      <c r="AL131" s="152"/>
      <c r="AM131" s="152"/>
      <c r="AN131" s="153" t="s">
        <v>83</v>
      </c>
      <c r="AO131" s="153"/>
      <c r="AP131" s="153"/>
      <c r="AQ131" s="153"/>
      <c r="AR131" s="153"/>
      <c r="AS131" s="153"/>
      <c r="AT131" s="153"/>
      <c r="AU131" s="153"/>
      <c r="AV131" s="153"/>
      <c r="AW131" s="155"/>
    </row>
    <row r="132" spans="1:49" x14ac:dyDescent="0.15">
      <c r="A132" s="1"/>
      <c r="B132" s="1"/>
      <c r="H132" s="148">
        <v>55</v>
      </c>
      <c r="I132" s="149"/>
      <c r="J132" s="149"/>
      <c r="K132" s="149"/>
      <c r="L132" s="149"/>
      <c r="M132" s="149"/>
      <c r="N132" s="149"/>
      <c r="O132" s="149"/>
      <c r="P132" s="149"/>
      <c r="Q132" s="150"/>
      <c r="R132" s="151">
        <v>27</v>
      </c>
      <c r="S132" s="152"/>
      <c r="T132" s="152"/>
      <c r="U132" s="152"/>
      <c r="V132" s="152"/>
      <c r="W132" s="152"/>
      <c r="X132" s="153">
        <f>$AY$2+900</f>
        <v>21400</v>
      </c>
      <c r="Y132" s="153"/>
      <c r="Z132" s="153"/>
      <c r="AA132" s="153"/>
      <c r="AB132" s="153"/>
      <c r="AC132" s="153"/>
      <c r="AD132" s="153"/>
      <c r="AE132" s="153"/>
      <c r="AF132" s="153"/>
      <c r="AG132" s="154"/>
      <c r="AH132" s="151">
        <v>27</v>
      </c>
      <c r="AI132" s="152"/>
      <c r="AJ132" s="152"/>
      <c r="AK132" s="152"/>
      <c r="AL132" s="152"/>
      <c r="AM132" s="152"/>
      <c r="AN132" s="153">
        <f>$AY$2+1700</f>
        <v>22200</v>
      </c>
      <c r="AO132" s="153"/>
      <c r="AP132" s="153"/>
      <c r="AQ132" s="153"/>
      <c r="AR132" s="153"/>
      <c r="AS132" s="153"/>
      <c r="AT132" s="153"/>
      <c r="AU132" s="153"/>
      <c r="AV132" s="153"/>
      <c r="AW132" s="155"/>
    </row>
    <row r="133" spans="1:49" x14ac:dyDescent="0.15">
      <c r="A133" s="1"/>
      <c r="B133" s="1"/>
      <c r="H133" s="156">
        <v>50</v>
      </c>
      <c r="I133" s="157"/>
      <c r="J133" s="157"/>
      <c r="K133" s="157"/>
      <c r="L133" s="157"/>
      <c r="M133" s="157"/>
      <c r="N133" s="157"/>
      <c r="O133" s="157"/>
      <c r="P133" s="157"/>
      <c r="Q133" s="158"/>
      <c r="R133" s="159">
        <v>30</v>
      </c>
      <c r="S133" s="160"/>
      <c r="T133" s="160"/>
      <c r="U133" s="160"/>
      <c r="V133" s="160"/>
      <c r="W133" s="160"/>
      <c r="X133" s="161">
        <f>$AY$2+1200</f>
        <v>21700</v>
      </c>
      <c r="Y133" s="161"/>
      <c r="Z133" s="161"/>
      <c r="AA133" s="161"/>
      <c r="AB133" s="161"/>
      <c r="AC133" s="161"/>
      <c r="AD133" s="161"/>
      <c r="AE133" s="161"/>
      <c r="AF133" s="161"/>
      <c r="AG133" s="162"/>
      <c r="AH133" s="159">
        <v>30</v>
      </c>
      <c r="AI133" s="160"/>
      <c r="AJ133" s="160"/>
      <c r="AK133" s="160"/>
      <c r="AL133" s="160"/>
      <c r="AM133" s="160"/>
      <c r="AN133" s="161">
        <f>$AY$2+2000</f>
        <v>22500</v>
      </c>
      <c r="AO133" s="161"/>
      <c r="AP133" s="161"/>
      <c r="AQ133" s="161"/>
      <c r="AR133" s="161"/>
      <c r="AS133" s="161"/>
      <c r="AT133" s="161"/>
      <c r="AU133" s="161"/>
      <c r="AV133" s="161"/>
      <c r="AW133" s="163"/>
    </row>
    <row r="134" spans="1:49" x14ac:dyDescent="0.15">
      <c r="A134" s="1"/>
      <c r="B134" s="1"/>
    </row>
    <row r="135" spans="1:49" x14ac:dyDescent="0.15">
      <c r="A135" s="1"/>
      <c r="B135" s="1"/>
    </row>
    <row r="136" spans="1:49" x14ac:dyDescent="0.15">
      <c r="A136" s="1"/>
      <c r="B136" s="1"/>
    </row>
    <row r="137" spans="1:49" x14ac:dyDescent="0.15">
      <c r="A137" s="1"/>
      <c r="B137" s="1"/>
    </row>
    <row r="138" spans="1:49" x14ac:dyDescent="0.15">
      <c r="A138" s="1"/>
      <c r="B138" s="1"/>
    </row>
    <row r="139" spans="1:49" x14ac:dyDescent="0.15">
      <c r="A139" s="1"/>
      <c r="B139" s="1"/>
    </row>
    <row r="140" spans="1:49" x14ac:dyDescent="0.15">
      <c r="A140" s="1"/>
      <c r="B140" s="1"/>
    </row>
    <row r="141" spans="1:49" ht="14.25" customHeight="1" x14ac:dyDescent="0.15">
      <c r="A141" s="1"/>
      <c r="B141" s="1"/>
    </row>
    <row r="142" spans="1:49" x14ac:dyDescent="0.15">
      <c r="A142" s="1"/>
      <c r="B142" s="1"/>
    </row>
    <row r="143" spans="1:49" ht="14.25" customHeight="1" x14ac:dyDescent="0.15">
      <c r="A143" s="1"/>
      <c r="B143" s="1"/>
    </row>
    <row r="144" spans="1:49" x14ac:dyDescent="0.15">
      <c r="A144" s="1"/>
      <c r="B144" s="1"/>
    </row>
    <row r="145" spans="1:2" x14ac:dyDescent="0.15">
      <c r="A145" s="1"/>
      <c r="B145" s="1"/>
    </row>
    <row r="146" spans="1:2" x14ac:dyDescent="0.15">
      <c r="A146" s="1"/>
      <c r="B146" s="1"/>
    </row>
    <row r="147" spans="1:2" x14ac:dyDescent="0.15">
      <c r="A147" s="1"/>
      <c r="B147" s="1"/>
    </row>
    <row r="148" spans="1:2" x14ac:dyDescent="0.15">
      <c r="A148" s="1"/>
      <c r="B148" s="1"/>
    </row>
    <row r="149" spans="1:2" x14ac:dyDescent="0.15">
      <c r="A149" s="1"/>
      <c r="B149" s="1"/>
    </row>
    <row r="150" spans="1:2" x14ac:dyDescent="0.15">
      <c r="A150" s="1"/>
      <c r="B150" s="1"/>
    </row>
    <row r="151" spans="1:2" x14ac:dyDescent="0.15">
      <c r="A151" s="1"/>
      <c r="B151" s="1"/>
    </row>
    <row r="152" spans="1:2" x14ac:dyDescent="0.15">
      <c r="A152" s="1"/>
      <c r="B152" s="1"/>
    </row>
    <row r="153" spans="1:2" x14ac:dyDescent="0.15">
      <c r="A153" s="1"/>
      <c r="B153" s="1"/>
    </row>
    <row r="154" spans="1:2" x14ac:dyDescent="0.15">
      <c r="A154" s="1"/>
      <c r="B154" s="1"/>
    </row>
    <row r="155" spans="1:2" x14ac:dyDescent="0.15">
      <c r="A155" s="1"/>
      <c r="B155" s="1"/>
    </row>
    <row r="156" spans="1:2" ht="13.5" customHeight="1" x14ac:dyDescent="0.15">
      <c r="A156" s="1"/>
      <c r="B156" s="1"/>
    </row>
    <row r="157" spans="1:2" ht="13.5" customHeight="1" x14ac:dyDescent="0.15">
      <c r="A157" s="1"/>
      <c r="B157" s="1"/>
    </row>
    <row r="158" spans="1:2" x14ac:dyDescent="0.15">
      <c r="A158" s="1"/>
      <c r="B158" s="1"/>
    </row>
    <row r="159" spans="1:2" x14ac:dyDescent="0.15">
      <c r="A159" s="1"/>
      <c r="B159" s="1"/>
    </row>
    <row r="160" spans="1:2" x14ac:dyDescent="0.15">
      <c r="A160" s="1"/>
      <c r="B160" s="1"/>
    </row>
    <row r="161" spans="1:2" x14ac:dyDescent="0.15">
      <c r="A161" s="1"/>
      <c r="B161" s="1"/>
    </row>
    <row r="162" spans="1:2" x14ac:dyDescent="0.15">
      <c r="A162" s="1"/>
      <c r="B162" s="1"/>
    </row>
  </sheetData>
  <mergeCells count="424">
    <mergeCell ref="H132:Q132"/>
    <mergeCell ref="R132:W132"/>
    <mergeCell ref="X132:AG132"/>
    <mergeCell ref="AH132:AM132"/>
    <mergeCell ref="AN132:AW132"/>
    <mergeCell ref="H133:Q133"/>
    <mergeCell ref="R133:W133"/>
    <mergeCell ref="X133:AG133"/>
    <mergeCell ref="AH133:AM133"/>
    <mergeCell ref="AN133:AW133"/>
    <mergeCell ref="H130:Q130"/>
    <mergeCell ref="R130:W130"/>
    <mergeCell ref="X130:AG130"/>
    <mergeCell ref="AH130:AM130"/>
    <mergeCell ref="AN130:AW130"/>
    <mergeCell ref="H131:Q131"/>
    <mergeCell ref="R131:W131"/>
    <mergeCell ref="X131:AG131"/>
    <mergeCell ref="AH131:AM131"/>
    <mergeCell ref="AN131:AW131"/>
    <mergeCell ref="H128:Q129"/>
    <mergeCell ref="R128:AW128"/>
    <mergeCell ref="R129:W129"/>
    <mergeCell ref="X129:AG129"/>
    <mergeCell ref="AH129:AM129"/>
    <mergeCell ref="AN129:AW129"/>
    <mergeCell ref="H122:T122"/>
    <mergeCell ref="U122:AE122"/>
    <mergeCell ref="AF122:AP122"/>
    <mergeCell ref="AQ122:BA122"/>
    <mergeCell ref="H123:T123"/>
    <mergeCell ref="U123:AE123"/>
    <mergeCell ref="AF123:AP123"/>
    <mergeCell ref="AQ123:BA123"/>
    <mergeCell ref="H120:T120"/>
    <mergeCell ref="U120:AE120"/>
    <mergeCell ref="AF120:AP120"/>
    <mergeCell ref="AQ120:BA120"/>
    <mergeCell ref="H121:T121"/>
    <mergeCell ref="U121:AE121"/>
    <mergeCell ref="AF121:AP121"/>
    <mergeCell ref="AQ121:BA121"/>
    <mergeCell ref="H118:T118"/>
    <mergeCell ref="U118:AE118"/>
    <mergeCell ref="AF118:AP118"/>
    <mergeCell ref="AQ118:BA118"/>
    <mergeCell ref="H119:T119"/>
    <mergeCell ref="U119:AE119"/>
    <mergeCell ref="AF119:AP119"/>
    <mergeCell ref="AQ119:BA119"/>
    <mergeCell ref="H116:T116"/>
    <mergeCell ref="U116:AE116"/>
    <mergeCell ref="AF116:AP116"/>
    <mergeCell ref="AQ116:BA116"/>
    <mergeCell ref="H117:T117"/>
    <mergeCell ref="U117:AE117"/>
    <mergeCell ref="AF117:AP117"/>
    <mergeCell ref="AQ117:BA117"/>
    <mergeCell ref="H114:T114"/>
    <mergeCell ref="U114:AE114"/>
    <mergeCell ref="AF114:AP114"/>
    <mergeCell ref="AQ114:BA114"/>
    <mergeCell ref="H115:T115"/>
    <mergeCell ref="U115:AE115"/>
    <mergeCell ref="AF115:AP115"/>
    <mergeCell ref="AQ115:BA115"/>
    <mergeCell ref="H111:T111"/>
    <mergeCell ref="U111:AB111"/>
    <mergeCell ref="AC111:AJ111"/>
    <mergeCell ref="AK111:AR111"/>
    <mergeCell ref="AS111:AZ111"/>
    <mergeCell ref="BA111:BH111"/>
    <mergeCell ref="H110:T110"/>
    <mergeCell ref="U110:AB110"/>
    <mergeCell ref="AC110:AJ110"/>
    <mergeCell ref="AK110:AR110"/>
    <mergeCell ref="AS110:AZ110"/>
    <mergeCell ref="BA110:BH110"/>
    <mergeCell ref="H109:T109"/>
    <mergeCell ref="U109:AB109"/>
    <mergeCell ref="AC109:AJ109"/>
    <mergeCell ref="AK109:AR109"/>
    <mergeCell ref="AS109:AZ109"/>
    <mergeCell ref="BA109:BH109"/>
    <mergeCell ref="H108:T108"/>
    <mergeCell ref="U108:AB108"/>
    <mergeCell ref="AC108:AJ108"/>
    <mergeCell ref="AK108:AR108"/>
    <mergeCell ref="AS108:AZ108"/>
    <mergeCell ref="BA108:BH108"/>
    <mergeCell ref="H107:T107"/>
    <mergeCell ref="U107:AB107"/>
    <mergeCell ref="AC107:AJ107"/>
    <mergeCell ref="AK107:AR107"/>
    <mergeCell ref="AS107:AZ107"/>
    <mergeCell ref="BA107:BH107"/>
    <mergeCell ref="H106:T106"/>
    <mergeCell ref="U106:AB106"/>
    <mergeCell ref="AC106:AJ106"/>
    <mergeCell ref="AK106:AR106"/>
    <mergeCell ref="AS106:AZ106"/>
    <mergeCell ref="BA106:BH106"/>
    <mergeCell ref="H105:T105"/>
    <mergeCell ref="U105:AB105"/>
    <mergeCell ref="AC105:AJ105"/>
    <mergeCell ref="AK105:AR105"/>
    <mergeCell ref="AS105:AZ105"/>
    <mergeCell ref="BA105:BH105"/>
    <mergeCell ref="H104:T104"/>
    <mergeCell ref="U104:AB104"/>
    <mergeCell ref="AC104:AJ104"/>
    <mergeCell ref="AK104:AR104"/>
    <mergeCell ref="AS104:AZ104"/>
    <mergeCell ref="BA104:BH104"/>
    <mergeCell ref="H103:T103"/>
    <mergeCell ref="U103:AB103"/>
    <mergeCell ref="AC103:AJ103"/>
    <mergeCell ref="AK103:AR103"/>
    <mergeCell ref="AS103:AZ103"/>
    <mergeCell ref="BA103:BH103"/>
    <mergeCell ref="H100:BH100"/>
    <mergeCell ref="H101:BH101"/>
    <mergeCell ref="H102:T102"/>
    <mergeCell ref="U102:AB102"/>
    <mergeCell ref="AC102:AJ102"/>
    <mergeCell ref="AK102:AR102"/>
    <mergeCell ref="AS102:AZ102"/>
    <mergeCell ref="BA102:BH102"/>
    <mergeCell ref="H98:T98"/>
    <mergeCell ref="U98:AB98"/>
    <mergeCell ref="AC98:AJ98"/>
    <mergeCell ref="AK98:AR98"/>
    <mergeCell ref="AS98:AZ98"/>
    <mergeCell ref="BA98:BH98"/>
    <mergeCell ref="H97:T97"/>
    <mergeCell ref="U97:AB97"/>
    <mergeCell ref="AC97:AJ97"/>
    <mergeCell ref="AK97:AR97"/>
    <mergeCell ref="AS97:AZ97"/>
    <mergeCell ref="BA97:BH97"/>
    <mergeCell ref="H96:T96"/>
    <mergeCell ref="U96:AB96"/>
    <mergeCell ref="AC96:AJ96"/>
    <mergeCell ref="AK96:AR96"/>
    <mergeCell ref="AS96:AZ96"/>
    <mergeCell ref="BA96:BH96"/>
    <mergeCell ref="H95:T95"/>
    <mergeCell ref="U95:AB95"/>
    <mergeCell ref="AC95:AJ95"/>
    <mergeCell ref="AK95:AR95"/>
    <mergeCell ref="AS95:AZ95"/>
    <mergeCell ref="BA95:BH95"/>
    <mergeCell ref="H94:T94"/>
    <mergeCell ref="U94:AB94"/>
    <mergeCell ref="AC94:AJ94"/>
    <mergeCell ref="AK94:AR94"/>
    <mergeCell ref="AS94:AZ94"/>
    <mergeCell ref="BA94:BH94"/>
    <mergeCell ref="H93:T93"/>
    <mergeCell ref="U93:AB93"/>
    <mergeCell ref="AC93:AJ93"/>
    <mergeCell ref="AK93:AR93"/>
    <mergeCell ref="AS93:AZ93"/>
    <mergeCell ref="BA93:BH93"/>
    <mergeCell ref="H92:T92"/>
    <mergeCell ref="U92:AB92"/>
    <mergeCell ref="AC92:AJ92"/>
    <mergeCell ref="AK92:AR92"/>
    <mergeCell ref="AS92:AZ92"/>
    <mergeCell ref="BA92:BH92"/>
    <mergeCell ref="H91:T91"/>
    <mergeCell ref="U91:AB91"/>
    <mergeCell ref="AC91:AJ91"/>
    <mergeCell ref="AK91:AR91"/>
    <mergeCell ref="AS91:AZ91"/>
    <mergeCell ref="BA91:BH91"/>
    <mergeCell ref="BA89:BH89"/>
    <mergeCell ref="H90:T90"/>
    <mergeCell ref="U90:AB90"/>
    <mergeCell ref="AC90:AJ90"/>
    <mergeCell ref="AK90:AR90"/>
    <mergeCell ref="AS90:AZ90"/>
    <mergeCell ref="BA90:BH90"/>
    <mergeCell ref="H84:T84"/>
    <mergeCell ref="U84:AO84"/>
    <mergeCell ref="AP84:BJ84"/>
    <mergeCell ref="H87:BH87"/>
    <mergeCell ref="H88:BH88"/>
    <mergeCell ref="H89:T89"/>
    <mergeCell ref="U89:AB89"/>
    <mergeCell ref="AC89:AJ89"/>
    <mergeCell ref="AK89:AR89"/>
    <mergeCell ref="AS89:AZ89"/>
    <mergeCell ref="H82:T82"/>
    <mergeCell ref="U82:AO82"/>
    <mergeCell ref="AP82:BJ82"/>
    <mergeCell ref="H83:T83"/>
    <mergeCell ref="U83:AO83"/>
    <mergeCell ref="AP83:BJ83"/>
    <mergeCell ref="H80:T80"/>
    <mergeCell ref="U80:AO80"/>
    <mergeCell ref="AP80:BJ80"/>
    <mergeCell ref="H81:T81"/>
    <mergeCell ref="U81:AO81"/>
    <mergeCell ref="AP81:BJ81"/>
    <mergeCell ref="H78:N78"/>
    <mergeCell ref="O78:T78"/>
    <mergeCell ref="U78:BJ78"/>
    <mergeCell ref="H79:T79"/>
    <mergeCell ref="U79:AO79"/>
    <mergeCell ref="AP79:BJ79"/>
    <mergeCell ref="H74:BJ74"/>
    <mergeCell ref="H75:BJ75"/>
    <mergeCell ref="H76:T76"/>
    <mergeCell ref="U76:AO76"/>
    <mergeCell ref="AP76:BJ76"/>
    <mergeCell ref="H77:L77"/>
    <mergeCell ref="M77:T77"/>
    <mergeCell ref="U77:AO77"/>
    <mergeCell ref="AP77:BJ77"/>
    <mergeCell ref="H68:T68"/>
    <mergeCell ref="U68:AO68"/>
    <mergeCell ref="AP68:BJ68"/>
    <mergeCell ref="H69:T69"/>
    <mergeCell ref="U69:AO69"/>
    <mergeCell ref="AP69:BJ69"/>
    <mergeCell ref="H66:T66"/>
    <mergeCell ref="U66:AO66"/>
    <mergeCell ref="AP66:BJ66"/>
    <mergeCell ref="H67:T67"/>
    <mergeCell ref="U67:AO67"/>
    <mergeCell ref="AP67:BJ67"/>
    <mergeCell ref="H64:T64"/>
    <mergeCell ref="U64:AO64"/>
    <mergeCell ref="AP64:BJ64"/>
    <mergeCell ref="H65:T65"/>
    <mergeCell ref="U65:AO65"/>
    <mergeCell ref="AP65:BJ65"/>
    <mergeCell ref="H62:L62"/>
    <mergeCell ref="M62:T62"/>
    <mergeCell ref="U62:AO62"/>
    <mergeCell ref="AP62:BJ62"/>
    <mergeCell ref="H63:N63"/>
    <mergeCell ref="O63:T63"/>
    <mergeCell ref="U63:BJ63"/>
    <mergeCell ref="G58:AH58"/>
    <mergeCell ref="H59:BJ59"/>
    <mergeCell ref="H60:BJ60"/>
    <mergeCell ref="H61:T61"/>
    <mergeCell ref="U61:AO61"/>
    <mergeCell ref="AP61:BJ61"/>
    <mergeCell ref="H56:P56"/>
    <mergeCell ref="Q56:Y56"/>
    <mergeCell ref="Z56:AH56"/>
    <mergeCell ref="AI56:AQ56"/>
    <mergeCell ref="AR56:AZ56"/>
    <mergeCell ref="BA56:BI56"/>
    <mergeCell ref="H55:P55"/>
    <mergeCell ref="Q55:Y55"/>
    <mergeCell ref="Z55:AH55"/>
    <mergeCell ref="AI55:AQ55"/>
    <mergeCell ref="AR55:AZ55"/>
    <mergeCell ref="BA55:BI55"/>
    <mergeCell ref="H54:P54"/>
    <mergeCell ref="Q54:Y54"/>
    <mergeCell ref="Z54:AH54"/>
    <mergeCell ref="AI54:AQ54"/>
    <mergeCell ref="AR54:AZ54"/>
    <mergeCell ref="BA54:BI54"/>
    <mergeCell ref="H53:P53"/>
    <mergeCell ref="Q53:Y53"/>
    <mergeCell ref="Z53:AH53"/>
    <mergeCell ref="AI53:AQ53"/>
    <mergeCell ref="AR53:AZ53"/>
    <mergeCell ref="BA53:BI53"/>
    <mergeCell ref="H52:P52"/>
    <mergeCell ref="Q52:Y52"/>
    <mergeCell ref="Z52:AH52"/>
    <mergeCell ref="AI52:AQ52"/>
    <mergeCell ref="AR52:AZ52"/>
    <mergeCell ref="BA52:BI52"/>
    <mergeCell ref="H50:AH50"/>
    <mergeCell ref="AI50:BI50"/>
    <mergeCell ref="H51:P51"/>
    <mergeCell ref="Q51:Y51"/>
    <mergeCell ref="Z51:AH51"/>
    <mergeCell ref="AI51:AQ51"/>
    <mergeCell ref="AR51:AZ51"/>
    <mergeCell ref="BA51:BI51"/>
    <mergeCell ref="H45:P45"/>
    <mergeCell ref="Q45:AH45"/>
    <mergeCell ref="AI45:AQ45"/>
    <mergeCell ref="AR45:BI45"/>
    <mergeCell ref="G47:AK47"/>
    <mergeCell ref="H49:AH49"/>
    <mergeCell ref="AI49:BI49"/>
    <mergeCell ref="H43:P43"/>
    <mergeCell ref="Q43:AH43"/>
    <mergeCell ref="AI43:AQ43"/>
    <mergeCell ref="AR43:BI43"/>
    <mergeCell ref="H44:P44"/>
    <mergeCell ref="Q44:AH44"/>
    <mergeCell ref="AI44:AQ44"/>
    <mergeCell ref="AR44:BI44"/>
    <mergeCell ref="H41:P41"/>
    <mergeCell ref="Q41:AH41"/>
    <mergeCell ref="AI41:AQ41"/>
    <mergeCell ref="AR41:BI41"/>
    <mergeCell ref="H42:P42"/>
    <mergeCell ref="Q42:AH42"/>
    <mergeCell ref="AI42:AQ42"/>
    <mergeCell ref="AR42:BI42"/>
    <mergeCell ref="H39:P39"/>
    <mergeCell ref="Q39:AH39"/>
    <mergeCell ref="AI39:AQ39"/>
    <mergeCell ref="AR39:BI39"/>
    <mergeCell ref="H40:P40"/>
    <mergeCell ref="Q40:AH40"/>
    <mergeCell ref="AI40:AQ40"/>
    <mergeCell ref="AR40:BI40"/>
    <mergeCell ref="AI36:AQ36"/>
    <mergeCell ref="H37:P37"/>
    <mergeCell ref="Q37:AH37"/>
    <mergeCell ref="AI37:AQ37"/>
    <mergeCell ref="AR37:BI37"/>
    <mergeCell ref="H38:P38"/>
    <mergeCell ref="Q38:AH38"/>
    <mergeCell ref="AI38:AQ38"/>
    <mergeCell ref="AR38:BI38"/>
    <mergeCell ref="G32:AK32"/>
    <mergeCell ref="H33:AH33"/>
    <mergeCell ref="AI33:BI33"/>
    <mergeCell ref="H34:AH34"/>
    <mergeCell ref="AI34:BI34"/>
    <mergeCell ref="H35:P35"/>
    <mergeCell ref="Q35:AH36"/>
    <mergeCell ref="AI35:AQ35"/>
    <mergeCell ref="AR35:BI36"/>
    <mergeCell ref="H36:P36"/>
    <mergeCell ref="H29:P29"/>
    <mergeCell ref="Q29:AH29"/>
    <mergeCell ref="AI29:AQ29"/>
    <mergeCell ref="AR29:BI29"/>
    <mergeCell ref="H30:P30"/>
    <mergeCell ref="Q30:AH30"/>
    <mergeCell ref="AI30:AQ30"/>
    <mergeCell ref="AR30:BI30"/>
    <mergeCell ref="H27:P27"/>
    <mergeCell ref="Q27:AH27"/>
    <mergeCell ref="AI27:AQ27"/>
    <mergeCell ref="AR27:BI27"/>
    <mergeCell ref="H28:P28"/>
    <mergeCell ref="Q28:AH28"/>
    <mergeCell ref="AI28:AQ28"/>
    <mergeCell ref="AR28:BI28"/>
    <mergeCell ref="H25:P25"/>
    <mergeCell ref="Q25:AH25"/>
    <mergeCell ref="AI25:AQ25"/>
    <mergeCell ref="AR25:BI25"/>
    <mergeCell ref="H26:P26"/>
    <mergeCell ref="Q26:AH26"/>
    <mergeCell ref="AI26:AQ26"/>
    <mergeCell ref="AR26:BI26"/>
    <mergeCell ref="AI22:AQ22"/>
    <mergeCell ref="H23:P23"/>
    <mergeCell ref="Q23:AH23"/>
    <mergeCell ref="AI23:AQ23"/>
    <mergeCell ref="AR23:BI23"/>
    <mergeCell ref="H24:P24"/>
    <mergeCell ref="Q24:AH24"/>
    <mergeCell ref="AI24:AQ24"/>
    <mergeCell ref="AR24:BI24"/>
    <mergeCell ref="G17:AM17"/>
    <mergeCell ref="H19:AH19"/>
    <mergeCell ref="AI19:BI19"/>
    <mergeCell ref="H20:AH20"/>
    <mergeCell ref="AI20:BI20"/>
    <mergeCell ref="H21:P21"/>
    <mergeCell ref="Q21:AH22"/>
    <mergeCell ref="AI21:AQ21"/>
    <mergeCell ref="AR21:BI22"/>
    <mergeCell ref="H22:P22"/>
    <mergeCell ref="H14:P14"/>
    <mergeCell ref="Q14:AH14"/>
    <mergeCell ref="AI14:AQ14"/>
    <mergeCell ref="AR14:BI14"/>
    <mergeCell ref="H15:P15"/>
    <mergeCell ref="Q15:AH15"/>
    <mergeCell ref="AI15:AQ15"/>
    <mergeCell ref="AR15:BI15"/>
    <mergeCell ref="H12:P12"/>
    <mergeCell ref="Q12:AH12"/>
    <mergeCell ref="AI12:AQ12"/>
    <mergeCell ref="AR12:BI12"/>
    <mergeCell ref="H13:P13"/>
    <mergeCell ref="Q13:AH13"/>
    <mergeCell ref="AI13:AQ13"/>
    <mergeCell ref="AR13:BI13"/>
    <mergeCell ref="H10:P10"/>
    <mergeCell ref="Q10:AH10"/>
    <mergeCell ref="AI10:AQ10"/>
    <mergeCell ref="AR10:BI10"/>
    <mergeCell ref="H11:P11"/>
    <mergeCell ref="Q11:AH11"/>
    <mergeCell ref="AI11:AQ11"/>
    <mergeCell ref="AR11:BI11"/>
    <mergeCell ref="H7:AH7"/>
    <mergeCell ref="AI7:BI7"/>
    <mergeCell ref="H8:P8"/>
    <mergeCell ref="Q8:AH9"/>
    <mergeCell ref="AI8:AQ8"/>
    <mergeCell ref="AR8:BI9"/>
    <mergeCell ref="H9:P9"/>
    <mergeCell ref="AI9:AQ9"/>
    <mergeCell ref="C2:M2"/>
    <mergeCell ref="AY2:BL2"/>
    <mergeCell ref="BM2:BN2"/>
    <mergeCell ref="F4:AH4"/>
    <mergeCell ref="H6:AH6"/>
    <mergeCell ref="AI6:BI6"/>
    <mergeCell ref="AL3:AX3"/>
    <mergeCell ref="AY3:BL3"/>
    <mergeCell ref="BM3:BN3"/>
    <mergeCell ref="AH2:AX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Ｈ27.10</vt:lpstr>
      <vt:lpstr>Ｈ27.10 (山間部)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marumitsu002</dc:creator>
  <cp:lastModifiedBy>KatsumiSuzuki</cp:lastModifiedBy>
  <cp:lastPrinted>2018-04-06T22:39:56Z</cp:lastPrinted>
  <dcterms:created xsi:type="dcterms:W3CDTF">2016-04-22T06:35:30Z</dcterms:created>
  <dcterms:modified xsi:type="dcterms:W3CDTF">2018-04-07T01:49:54Z</dcterms:modified>
</cp:coreProperties>
</file>